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gencelocaled.sharepoint.com/sites/SHAREPOINT_MVE/Documents partages/MVE/1.1_FRANCE_RENOV'/4_outils/Outils a utiliser en RDV/A4 - outils accompagnement/"/>
    </mc:Choice>
  </mc:AlternateContent>
  <xr:revisionPtr revIDLastSave="92" documentId="8_{E8932BF6-6099-4122-8A31-94DD3DCA2051}" xr6:coauthVersionLast="47" xr6:coauthVersionMax="47" xr10:uidLastSave="{3E48361A-A0B3-45A1-8BD8-6945D2ADD484}"/>
  <bookViews>
    <workbookView xWindow="-120" yWindow="-120" windowWidth="29040" windowHeight="15720" activeTab="1" xr2:uid="{D2912328-702D-4432-A922-F462CC197548}"/>
  </bookViews>
  <sheets>
    <sheet name="Tuto" sheetId="7" r:id="rId1"/>
    <sheet name="scénario_1" sheetId="1" r:id="rId2"/>
    <sheet name="Matrices" sheetId="4" r:id="rId3"/>
    <sheet name="💰 Financement 1" sheetId="8" r:id="rId4"/>
    <sheet name="info CEE aide global" sheetId="6" r:id="rId5"/>
    <sheet name="intérêts assurance Eco ptz" sheetId="9" state="hidden" r:id="rId6"/>
    <sheet name="intérêts prêt complémentaire" sheetId="10" state="hidden" r:id="rId7"/>
  </sheets>
  <externalReferences>
    <externalReference r:id="rId8"/>
    <externalReference r:id="rId9"/>
    <externalReference r:id="rId10"/>
    <externalReference r:id="rId11"/>
    <externalReference r:id="rId12"/>
  </externalReferences>
  <definedNames>
    <definedName name="_xlnm._FilterDatabase" localSheetId="1" hidden="1">scénario_1!$A$20:$U$54</definedName>
    <definedName name="_xlnm._FilterDatabase" localSheetId="3" hidden="1">'💰 Financement 1'!$J$15:$J$26</definedName>
    <definedName name="Aides_anah">Matrices!$I$5:$I$13</definedName>
    <definedName name="Ancienn_batit" localSheetId="3">'[1]Matrices 1'!$F$5:$F$11</definedName>
    <definedName name="Ancienn_batit">Matrices!$F$5:$F$11</definedName>
    <definedName name="BDD_Action_MVE">[2]BDD!$J$2:$J$7</definedName>
    <definedName name="BDD_Age">[2]BDD!$K$2:$K$7</definedName>
    <definedName name="BDD_CIE_initiale">[2]BDD!$U$2:$U$9</definedName>
    <definedName name="BDD_Energie1">[2]BDD!$G$2:$G$11</definedName>
    <definedName name="BDD_Energie2">[2]BDD!$H$2:$H$5</definedName>
    <definedName name="BDD_Etat">[2]BDD!$B$2:$B$5</definedName>
    <definedName name="BDD_Problematique">[2]BDD!$Q$2:$Q$10</definedName>
    <definedName name="BDD_Q_ferme">[2]BDD!$C$2:$C$4</definedName>
    <definedName name="BDD_Revenu">[2]BDD!$L$2:$L$6</definedName>
    <definedName name="BDD_Sexe">[2]BDD!$D$2:$D$4</definedName>
    <definedName name="BDD_Situation_professionelle">[2]BDD!$P$2:$P$5</definedName>
    <definedName name="BDD_Solutions">[2]BDD!$R$2:$R$33</definedName>
    <definedName name="BDD_Statut">[2]BDD!$I$2:$I$8</definedName>
    <definedName name="BDD_Statut_occupation">[2]BDD!$E$2:$E$6</definedName>
    <definedName name="BDD_Typologie">[2]BDD!$F$2:$F$6</definedName>
    <definedName name="BDD_VILLE">[2]BDD!$B$29:$B$73</definedName>
    <definedName name="BES">[3]BDD!$A$2:$A$5</definedName>
    <definedName name="CIE">[3]BDD!$Q$2:$Q$14</definedName>
    <definedName name="Civilité" localSheetId="3">'[1]Matrices 1'!$B$5:$B$8</definedName>
    <definedName name="Civilité">Matrices!$B$5:$B$8</definedName>
    <definedName name="Communes">Matrices!$X$52:$X$75</definedName>
    <definedName name="Compo_ménage" localSheetId="3">'[1]Matrices 1'!$G$5:$G$9</definedName>
    <definedName name="Compo_ménage">Matrices!$G$5:$G$9</definedName>
    <definedName name="Critere_Montreuil" localSheetId="3">'[1]Matrices 1'!$J$5:$J$8</definedName>
    <definedName name="Critere_Montreuil">Matrices!$J$5:$J$8</definedName>
    <definedName name="Critères_fond_air_bois" localSheetId="3">'[1]Matrices 1'!$O$5:$O$7</definedName>
    <definedName name="Critères_fond_air_bois">Matrices!$O$5:$O$7</definedName>
    <definedName name="Durée_du_prêt">Matrices!$G$103:$G$139</definedName>
    <definedName name="Energie">Matrices!$K$5:$K$11</definedName>
    <definedName name="Etat">[3]BDD!$C$2:$C$6</definedName>
    <definedName name="Libellés_initiaux">[3]BDD!$M$2:$M$14</definedName>
    <definedName name="Logement">[4]Données!$J$2:$L$2</definedName>
    <definedName name="Maison_individuelle">[3]BDD!$J$2:$J$19</definedName>
    <definedName name="nbre_Foyer" localSheetId="3">'[1]Matrices 1'!$H$5:$H$15</definedName>
    <definedName name="nbre_Foyer">Matrices!$H$5:$H$15</definedName>
    <definedName name="Origine">[3]BDD!$B$2:$B$7</definedName>
    <definedName name="Oui_Non" localSheetId="3">'[1]Matrices 1'!$E$5:$E$7</definedName>
    <definedName name="Oui_Non">Matrices!$E$5:$E$7</definedName>
    <definedName name="PAC">'[1]Matrices 1'!$Q$5:$Q$7</definedName>
    <definedName name="Q_Fermée">[3]BDD!$E$2:$E$4</definedName>
    <definedName name="Statut_occ">[4]Données!$G$3:$G$7</definedName>
    <definedName name="Statut_occupation" localSheetId="3">'[1]Matrices 1'!$C$5:$C$7</definedName>
    <definedName name="Statut_occupation">Matrices!$C$5:$C$7</definedName>
    <definedName name="SUIVI_RDV">'[5]Stat RDV'!$A:$Q</definedName>
    <definedName name="Travaux_réalisés">[3]BDD!$N$2:$N$13</definedName>
    <definedName name="Type_logement" localSheetId="3">'[1]Matrices 1'!$D$5:$D$7</definedName>
    <definedName name="Type_logement">Matrices!$D$5:$D$7</definedName>
    <definedName name="Type_menage">[3]BDD!$D$2:$D$5</definedName>
    <definedName name="Type_RDV">[3]BDD!$F$2:$F$6</definedName>
    <definedName name="Type_travayx" localSheetId="3">'[1]Matrices 1'!$N$5:$N$8</definedName>
    <definedName name="Type_travayx">Matrices!$N$5:$N$8</definedName>
    <definedName name="Typo_parc">[4]Données!$I$3:$I$5</definedName>
    <definedName name="VMC">'[1]Matrices 1'!$R$5:$R$7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N18" i="1" s="1"/>
  <c r="N21" i="1" s="1"/>
  <c r="O21" i="1" s="1"/>
  <c r="B11" i="1"/>
  <c r="B14" i="1" s="1"/>
  <c r="B15" i="1"/>
  <c r="D12" i="10"/>
  <c r="J55" i="8"/>
  <c r="J57" i="8"/>
  <c r="D10" i="10"/>
  <c r="D11" i="10" s="1"/>
  <c r="J2" i="10" s="1"/>
  <c r="D7" i="10"/>
  <c r="D8" i="10" s="1"/>
  <c r="D6" i="10"/>
  <c r="J45" i="8"/>
  <c r="D10" i="9"/>
  <c r="D11" i="9" s="1"/>
  <c r="D7" i="9"/>
  <c r="D8" i="9" s="1"/>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F50" i="1"/>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 i="9"/>
  <c r="F4" i="9"/>
  <c r="F5" i="9"/>
  <c r="F6" i="9"/>
  <c r="F7" i="9"/>
  <c r="F8" i="9"/>
  <c r="F9" i="9"/>
  <c r="F10" i="9"/>
  <c r="F11" i="9"/>
  <c r="F12" i="9"/>
  <c r="F13" i="9"/>
  <c r="F14" i="9"/>
  <c r="F15" i="9"/>
  <c r="F16" i="9"/>
  <c r="F2" i="9"/>
  <c r="J9" i="8"/>
  <c r="J8" i="8"/>
  <c r="F11" i="8"/>
  <c r="F10" i="8"/>
  <c r="F9" i="8"/>
  <c r="D9" i="10" l="1"/>
  <c r="I43" i="10" s="1"/>
  <c r="H44" i="10"/>
  <c r="J44" i="10" s="1"/>
  <c r="K2" i="10"/>
  <c r="I301" i="10"/>
  <c r="I299" i="10"/>
  <c r="I244" i="10"/>
  <c r="I237" i="10"/>
  <c r="I205" i="10"/>
  <c r="I203" i="10"/>
  <c r="I196" i="10"/>
  <c r="I170" i="10"/>
  <c r="I288" i="10"/>
  <c r="I275" i="10"/>
  <c r="I273" i="10"/>
  <c r="I294" i="10"/>
  <c r="I292" i="10"/>
  <c r="I279" i="10"/>
  <c r="I233" i="10"/>
  <c r="I201" i="10"/>
  <c r="I199" i="10"/>
  <c r="I192" i="10"/>
  <c r="I167" i="10"/>
  <c r="I163" i="10"/>
  <c r="I283" i="10"/>
  <c r="I281" i="10"/>
  <c r="I266" i="10"/>
  <c r="I206" i="10"/>
  <c r="I190" i="10"/>
  <c r="I298" i="10"/>
  <c r="I234" i="10"/>
  <c r="I218" i="10"/>
  <c r="I202" i="10"/>
  <c r="I263" i="10"/>
  <c r="I261" i="10"/>
  <c r="I257" i="10"/>
  <c r="I223" i="10"/>
  <c r="I216" i="10"/>
  <c r="I209" i="10"/>
  <c r="I185" i="10"/>
  <c r="I181" i="10"/>
  <c r="I177" i="10"/>
  <c r="I149" i="10"/>
  <c r="I145" i="10"/>
  <c r="I141" i="10"/>
  <c r="I285" i="10"/>
  <c r="I243" i="10"/>
  <c r="I230" i="10"/>
  <c r="I129" i="10"/>
  <c r="I125" i="10"/>
  <c r="I121" i="10"/>
  <c r="I101" i="10"/>
  <c r="I97" i="10"/>
  <c r="I93" i="10"/>
  <c r="I65" i="10"/>
  <c r="I61" i="10"/>
  <c r="I57" i="10"/>
  <c r="I265" i="10"/>
  <c r="I246" i="10"/>
  <c r="I229" i="10"/>
  <c r="I287" i="10"/>
  <c r="I245" i="10"/>
  <c r="I236" i="10"/>
  <c r="I131" i="10"/>
  <c r="I127" i="10"/>
  <c r="I123" i="10"/>
  <c r="I95" i="10"/>
  <c r="I91" i="10"/>
  <c r="I87" i="10"/>
  <c r="I67" i="10"/>
  <c r="I63" i="10"/>
  <c r="I59" i="10"/>
  <c r="I104" i="10"/>
  <c r="I98" i="10"/>
  <c r="I58" i="10"/>
  <c r="I118" i="10"/>
  <c r="I92" i="10"/>
  <c r="I86" i="10"/>
  <c r="I28" i="10"/>
  <c r="I24" i="10"/>
  <c r="I20" i="10"/>
  <c r="I110" i="10"/>
  <c r="I60" i="10"/>
  <c r="I144" i="10"/>
  <c r="I3" i="10"/>
  <c r="I10" i="10"/>
  <c r="I5" i="10"/>
  <c r="I132" i="10"/>
  <c r="I126" i="10"/>
  <c r="I100" i="10"/>
  <c r="I29" i="10"/>
  <c r="I25" i="10"/>
  <c r="I21" i="10"/>
  <c r="I188" i="10"/>
  <c r="I128" i="10"/>
  <c r="I122" i="10"/>
  <c r="I114" i="10"/>
  <c r="I88" i="10"/>
  <c r="I82" i="10"/>
  <c r="I227" i="10"/>
  <c r="I214" i="10"/>
  <c r="I142" i="10"/>
  <c r="I46" i="10"/>
  <c r="I42" i="10"/>
  <c r="I38" i="10"/>
  <c r="I18" i="10"/>
  <c r="I14" i="10"/>
  <c r="I53" i="10"/>
  <c r="H50" i="1"/>
  <c r="J2" i="9"/>
  <c r="K2" i="9" s="1"/>
  <c r="R41" i="8"/>
  <c r="F43" i="8"/>
  <c r="T43" i="8"/>
  <c r="T45" i="8"/>
  <c r="E21" i="4" s="1"/>
  <c r="E22" i="4" s="1"/>
  <c r="E23" i="4" s="1"/>
  <c r="E24" i="4" s="1"/>
  <c r="E25" i="4" s="1"/>
  <c r="E26" i="4" s="1"/>
  <c r="E27" i="4" s="1"/>
  <c r="E28" i="4" s="1"/>
  <c r="E29" i="4" s="1"/>
  <c r="E30" i="4" s="1"/>
  <c r="E31" i="4" s="1"/>
  <c r="E32" i="4" s="1"/>
  <c r="E33" i="4" s="1"/>
  <c r="E34" i="4" s="1"/>
  <c r="E35" i="4" s="1"/>
  <c r="E36" i="4" s="1"/>
  <c r="E37" i="4" s="1"/>
  <c r="E38" i="4" s="1"/>
  <c r="E39" i="4" s="1"/>
  <c r="E40" i="4" s="1"/>
  <c r="E41" i="4" s="1"/>
  <c r="R44" i="8"/>
  <c r="R45" i="8"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G41" i="4" s="1"/>
  <c r="R55" i="8" s="1"/>
  <c r="F25" i="8"/>
  <c r="F17" i="8"/>
  <c r="I50" i="10" l="1"/>
  <c r="I120" i="10"/>
  <c r="I33" i="10"/>
  <c r="I7" i="10"/>
  <c r="I32" i="10"/>
  <c r="I130" i="10"/>
  <c r="I99" i="10"/>
  <c r="H100" i="10" s="1"/>
  <c r="J100" i="10" s="1"/>
  <c r="I134" i="10"/>
  <c r="H135" i="10" s="1"/>
  <c r="J135" i="10" s="1"/>
  <c r="I69" i="10"/>
  <c r="I133" i="10"/>
  <c r="I153" i="10"/>
  <c r="I225" i="10"/>
  <c r="I250" i="10"/>
  <c r="I296" i="10"/>
  <c r="I240" i="10"/>
  <c r="H241" i="10" s="1"/>
  <c r="J241" i="10" s="1"/>
  <c r="I162" i="10"/>
  <c r="H163" i="10" s="1"/>
  <c r="J163" i="10" s="1"/>
  <c r="I251" i="10"/>
  <c r="I23" i="10"/>
  <c r="I108" i="10"/>
  <c r="I96" i="10"/>
  <c r="I94" i="10"/>
  <c r="H95" i="10" s="1"/>
  <c r="J95" i="10" s="1"/>
  <c r="I136" i="10"/>
  <c r="H137" i="10" s="1"/>
  <c r="J137" i="10" s="1"/>
  <c r="I54" i="10"/>
  <c r="H55" i="10" s="1"/>
  <c r="J55" i="10" s="1"/>
  <c r="I55" i="10"/>
  <c r="I119" i="10"/>
  <c r="I220" i="10"/>
  <c r="I89" i="10"/>
  <c r="I213" i="10"/>
  <c r="I173" i="10"/>
  <c r="H174" i="10" s="1"/>
  <c r="J174" i="10" s="1"/>
  <c r="I255" i="10"/>
  <c r="H256" i="10" s="1"/>
  <c r="J256" i="10" s="1"/>
  <c r="I291" i="10"/>
  <c r="H292" i="10" s="1"/>
  <c r="J292" i="10" s="1"/>
  <c r="I159" i="10"/>
  <c r="I247" i="10"/>
  <c r="I166" i="10"/>
  <c r="I297" i="10"/>
  <c r="I171" i="10"/>
  <c r="H172" i="10" s="1"/>
  <c r="J172" i="10" s="1"/>
  <c r="I208" i="10"/>
  <c r="H209" i="10" s="1"/>
  <c r="J209" i="10" s="1"/>
  <c r="I249" i="10"/>
  <c r="H250" i="10" s="1"/>
  <c r="J250" i="10" s="1"/>
  <c r="I194" i="10"/>
  <c r="H195" i="10" s="1"/>
  <c r="J195" i="10" s="1"/>
  <c r="I290" i="10"/>
  <c r="I174" i="10"/>
  <c r="H175" i="10" s="1"/>
  <c r="J175" i="10" s="1"/>
  <c r="I212" i="10"/>
  <c r="H213" i="10" s="1"/>
  <c r="J213" i="10" s="1"/>
  <c r="I253" i="10"/>
  <c r="H254" i="10" s="1"/>
  <c r="J254" i="10" s="1"/>
  <c r="I300" i="10"/>
  <c r="I22" i="10"/>
  <c r="H23" i="10" s="1"/>
  <c r="J23" i="10" s="1"/>
  <c r="I68" i="10"/>
  <c r="I282" i="10"/>
  <c r="H283" i="10" s="1"/>
  <c r="J283" i="10" s="1"/>
  <c r="I197" i="10"/>
  <c r="I64" i="10"/>
  <c r="I124" i="10"/>
  <c r="H125" i="10" s="1"/>
  <c r="J125" i="10" s="1"/>
  <c r="I71" i="10"/>
  <c r="H72" i="10" s="1"/>
  <c r="J72" i="10" s="1"/>
  <c r="I135" i="10"/>
  <c r="H136" i="10" s="1"/>
  <c r="J136" i="10" s="1"/>
  <c r="I156" i="10"/>
  <c r="I137" i="10"/>
  <c r="I157" i="10"/>
  <c r="H158" i="10" s="1"/>
  <c r="J158" i="10" s="1"/>
  <c r="I232" i="10"/>
  <c r="H233" i="10" s="1"/>
  <c r="J233" i="10" s="1"/>
  <c r="I259" i="10"/>
  <c r="I143" i="10"/>
  <c r="H144" i="10" s="1"/>
  <c r="J144" i="10" s="1"/>
  <c r="I215" i="10"/>
  <c r="H216" i="10" s="1"/>
  <c r="J216" i="10" s="1"/>
  <c r="I256" i="10"/>
  <c r="I146" i="10"/>
  <c r="I178" i="10"/>
  <c r="H179" i="10" s="1"/>
  <c r="J179" i="10" s="1"/>
  <c r="I219" i="10"/>
  <c r="H220" i="10" s="1"/>
  <c r="J220" i="10" s="1"/>
  <c r="I269" i="10"/>
  <c r="H270" i="10" s="1"/>
  <c r="J270" i="10" s="1"/>
  <c r="I27" i="10"/>
  <c r="H28" i="10" s="1"/>
  <c r="J28" i="10" s="1"/>
  <c r="I26" i="10"/>
  <c r="H27" i="10" s="1"/>
  <c r="J27" i="10" s="1"/>
  <c r="I4" i="10"/>
  <c r="I8" i="10"/>
  <c r="H9" i="10" s="1"/>
  <c r="J9" i="10" s="1"/>
  <c r="I47" i="10"/>
  <c r="H48" i="10" s="1"/>
  <c r="J48" i="10" s="1"/>
  <c r="I90" i="10"/>
  <c r="I2" i="10"/>
  <c r="L2" i="10" s="1"/>
  <c r="I75" i="10"/>
  <c r="H76" i="10" s="1"/>
  <c r="J76" i="10" s="1"/>
  <c r="I168" i="10"/>
  <c r="H169" i="10" s="1"/>
  <c r="J169" i="10" s="1"/>
  <c r="I160" i="10"/>
  <c r="H161" i="10" s="1"/>
  <c r="J161" i="10" s="1"/>
  <c r="I77" i="10"/>
  <c r="H78" i="10" s="1"/>
  <c r="J78" i="10" s="1"/>
  <c r="I152" i="10"/>
  <c r="I148" i="10"/>
  <c r="H149" i="10" s="1"/>
  <c r="J149" i="10" s="1"/>
  <c r="I193" i="10"/>
  <c r="I278" i="10"/>
  <c r="I238" i="10"/>
  <c r="I179" i="10"/>
  <c r="I260" i="10"/>
  <c r="I150" i="10"/>
  <c r="H151" i="10" s="1"/>
  <c r="J151" i="10" s="1"/>
  <c r="I182" i="10"/>
  <c r="H183" i="10" s="1"/>
  <c r="J183" i="10" s="1"/>
  <c r="I271" i="10"/>
  <c r="H272" i="10" s="1"/>
  <c r="J272" i="10" s="1"/>
  <c r="I35" i="10"/>
  <c r="H36" i="10" s="1"/>
  <c r="J36" i="10" s="1"/>
  <c r="I30" i="10"/>
  <c r="H31" i="10" s="1"/>
  <c r="J31" i="10" s="1"/>
  <c r="I76" i="10"/>
  <c r="H77" i="10" s="1"/>
  <c r="J77" i="10" s="1"/>
  <c r="I72" i="10"/>
  <c r="H73" i="10" s="1"/>
  <c r="J73" i="10" s="1"/>
  <c r="I116" i="10"/>
  <c r="H117" i="10" s="1"/>
  <c r="J117" i="10" s="1"/>
  <c r="I13" i="10"/>
  <c r="I45" i="10"/>
  <c r="H46" i="10" s="1"/>
  <c r="J46" i="10" s="1"/>
  <c r="I62" i="10"/>
  <c r="H63" i="10" s="1"/>
  <c r="J63" i="10" s="1"/>
  <c r="I106" i="10"/>
  <c r="I12" i="10"/>
  <c r="H13" i="10" s="1"/>
  <c r="J13" i="10" s="1"/>
  <c r="I44" i="10"/>
  <c r="H45" i="10" s="1"/>
  <c r="J45" i="10" s="1"/>
  <c r="I6" i="10"/>
  <c r="H7" i="10" s="1"/>
  <c r="J7" i="10" s="1"/>
  <c r="I268" i="10"/>
  <c r="H269" i="10" s="1"/>
  <c r="J269" i="10" s="1"/>
  <c r="I79" i="10"/>
  <c r="I111" i="10"/>
  <c r="I198" i="10"/>
  <c r="I172" i="10"/>
  <c r="H173" i="10" s="1"/>
  <c r="J173" i="10" s="1"/>
  <c r="I270" i="10"/>
  <c r="H271" i="10" s="1"/>
  <c r="J271" i="10" s="1"/>
  <c r="I81" i="10"/>
  <c r="H82" i="10" s="1"/>
  <c r="J82" i="10" s="1"/>
  <c r="I113" i="10"/>
  <c r="H114" i="10" s="1"/>
  <c r="J114" i="10" s="1"/>
  <c r="I180" i="10"/>
  <c r="H181" i="10" s="1"/>
  <c r="J181" i="10" s="1"/>
  <c r="I184" i="10"/>
  <c r="I165" i="10"/>
  <c r="H166" i="10" s="1"/>
  <c r="J166" i="10" s="1"/>
  <c r="I200" i="10"/>
  <c r="H201" i="10" s="1"/>
  <c r="J201" i="10" s="1"/>
  <c r="I241" i="10"/>
  <c r="I293" i="10"/>
  <c r="H294" i="10" s="1"/>
  <c r="J294" i="10" s="1"/>
  <c r="I274" i="10"/>
  <c r="H275" i="10" s="1"/>
  <c r="J275" i="10" s="1"/>
  <c r="I254" i="10"/>
  <c r="H255" i="10" s="1"/>
  <c r="J255" i="10" s="1"/>
  <c r="I151" i="10"/>
  <c r="H152" i="10" s="1"/>
  <c r="J152" i="10" s="1"/>
  <c r="I183" i="10"/>
  <c r="I224" i="10"/>
  <c r="I262" i="10"/>
  <c r="I242" i="10"/>
  <c r="H243" i="10" s="1"/>
  <c r="J243" i="10" s="1"/>
  <c r="I154" i="10"/>
  <c r="H155" i="10" s="1"/>
  <c r="J155" i="10" s="1"/>
  <c r="I186" i="10"/>
  <c r="H187" i="10" s="1"/>
  <c r="J187" i="10" s="1"/>
  <c r="I228" i="10"/>
  <c r="H229" i="10" s="1"/>
  <c r="J229" i="10" s="1"/>
  <c r="I284" i="10"/>
  <c r="H285" i="10" s="1"/>
  <c r="J285" i="10" s="1"/>
  <c r="I31" i="10"/>
  <c r="I19" i="10"/>
  <c r="H20" i="10" s="1"/>
  <c r="J20" i="10" s="1"/>
  <c r="I78" i="10"/>
  <c r="H79" i="10" s="1"/>
  <c r="J79" i="10" s="1"/>
  <c r="I9" i="10"/>
  <c r="I37" i="10"/>
  <c r="H38" i="10" s="1"/>
  <c r="J38" i="10" s="1"/>
  <c r="I52" i="10"/>
  <c r="I36" i="10"/>
  <c r="I252" i="10"/>
  <c r="H253" i="10" s="1"/>
  <c r="J253" i="10" s="1"/>
  <c r="I103" i="10"/>
  <c r="H104" i="10" s="1"/>
  <c r="J104" i="10" s="1"/>
  <c r="I138" i="10"/>
  <c r="I73" i="10"/>
  <c r="H74" i="10" s="1"/>
  <c r="J74" i="10" s="1"/>
  <c r="I105" i="10"/>
  <c r="I140" i="10"/>
  <c r="H141" i="10" s="1"/>
  <c r="J141" i="10" s="1"/>
  <c r="I191" i="10"/>
  <c r="H192" i="10" s="1"/>
  <c r="J192" i="10" s="1"/>
  <c r="I276" i="10"/>
  <c r="I222" i="10"/>
  <c r="H223" i="10" s="1"/>
  <c r="J223" i="10" s="1"/>
  <c r="I175" i="10"/>
  <c r="H176" i="10" s="1"/>
  <c r="J176" i="10" s="1"/>
  <c r="I210" i="10"/>
  <c r="I70" i="10"/>
  <c r="H71" i="10" s="1"/>
  <c r="J71" i="10" s="1"/>
  <c r="I84" i="10"/>
  <c r="I41" i="10"/>
  <c r="H42" i="10" s="1"/>
  <c r="J42" i="10" s="1"/>
  <c r="I80" i="10"/>
  <c r="H81" i="10" s="1"/>
  <c r="J81" i="10" s="1"/>
  <c r="I40" i="10"/>
  <c r="I139" i="10"/>
  <c r="H140" i="10" s="1"/>
  <c r="J140" i="10" s="1"/>
  <c r="I107" i="10"/>
  <c r="H108" i="10" s="1"/>
  <c r="J108" i="10" s="1"/>
  <c r="I176" i="10"/>
  <c r="I109" i="10"/>
  <c r="I161" i="10"/>
  <c r="I239" i="10"/>
  <c r="H240" i="10" s="1"/>
  <c r="J240" i="10" s="1"/>
  <c r="I272" i="10"/>
  <c r="I147" i="10"/>
  <c r="I217" i="10"/>
  <c r="I226" i="10"/>
  <c r="I221" i="10"/>
  <c r="H222" i="10" s="1"/>
  <c r="J222" i="10" s="1"/>
  <c r="I11" i="10"/>
  <c r="H12" i="10" s="1"/>
  <c r="J12" i="10" s="1"/>
  <c r="I39" i="10"/>
  <c r="I34" i="10"/>
  <c r="H35" i="10" s="1"/>
  <c r="J35" i="10" s="1"/>
  <c r="I102" i="10"/>
  <c r="H103" i="10" s="1"/>
  <c r="J103" i="10" s="1"/>
  <c r="I74" i="10"/>
  <c r="H75" i="10" s="1"/>
  <c r="J75" i="10" s="1"/>
  <c r="I66" i="10"/>
  <c r="H67" i="10" s="1"/>
  <c r="J67" i="10" s="1"/>
  <c r="I17" i="10"/>
  <c r="I49" i="10"/>
  <c r="I164" i="10"/>
  <c r="I112" i="10"/>
  <c r="I16" i="10"/>
  <c r="H17" i="10" s="1"/>
  <c r="J17" i="10" s="1"/>
  <c r="I48" i="10"/>
  <c r="H49" i="10" s="1"/>
  <c r="J49" i="10" s="1"/>
  <c r="I56" i="10"/>
  <c r="H57" i="10" s="1"/>
  <c r="J57" i="10" s="1"/>
  <c r="I51" i="10"/>
  <c r="H52" i="10" s="1"/>
  <c r="J52" i="10" s="1"/>
  <c r="I83" i="10"/>
  <c r="I115" i="10"/>
  <c r="H116" i="10" s="1"/>
  <c r="J116" i="10" s="1"/>
  <c r="I211" i="10"/>
  <c r="H212" i="10" s="1"/>
  <c r="J212" i="10" s="1"/>
  <c r="I195" i="10"/>
  <c r="I280" i="10"/>
  <c r="H281" i="10" s="1"/>
  <c r="J281" i="10" s="1"/>
  <c r="I85" i="10"/>
  <c r="H86" i="10" s="1"/>
  <c r="J86" i="10" s="1"/>
  <c r="I117" i="10"/>
  <c r="H118" i="10" s="1"/>
  <c r="J118" i="10" s="1"/>
  <c r="I204" i="10"/>
  <c r="H205" i="10" s="1"/>
  <c r="J205" i="10" s="1"/>
  <c r="I267" i="10"/>
  <c r="I169" i="10"/>
  <c r="I207" i="10"/>
  <c r="I248" i="10"/>
  <c r="H249" i="10" s="1"/>
  <c r="J249" i="10" s="1"/>
  <c r="I295" i="10"/>
  <c r="H296" i="10" s="1"/>
  <c r="J296" i="10" s="1"/>
  <c r="I289" i="10"/>
  <c r="H290" i="10" s="1"/>
  <c r="J290" i="10" s="1"/>
  <c r="I264" i="10"/>
  <c r="H265" i="10" s="1"/>
  <c r="J265" i="10" s="1"/>
  <c r="I155" i="10"/>
  <c r="H156" i="10" s="1"/>
  <c r="J156" i="10" s="1"/>
  <c r="I187" i="10"/>
  <c r="I231" i="10"/>
  <c r="I277" i="10"/>
  <c r="I258" i="10"/>
  <c r="I158" i="10"/>
  <c r="I189" i="10"/>
  <c r="H190" i="10" s="1"/>
  <c r="J190" i="10" s="1"/>
  <c r="I235" i="10"/>
  <c r="H236" i="10" s="1"/>
  <c r="J236" i="10" s="1"/>
  <c r="I286" i="10"/>
  <c r="H287" i="10" s="1"/>
  <c r="J287" i="10" s="1"/>
  <c r="I15" i="10"/>
  <c r="H123" i="10"/>
  <c r="J123" i="10" s="1"/>
  <c r="H145" i="10"/>
  <c r="J145" i="10" s="1"/>
  <c r="H99" i="10"/>
  <c r="J99" i="10" s="1"/>
  <c r="H124" i="10"/>
  <c r="J124" i="10" s="1"/>
  <c r="H94" i="10"/>
  <c r="J94" i="10" s="1"/>
  <c r="H146" i="10"/>
  <c r="J146" i="10" s="1"/>
  <c r="H217" i="10"/>
  <c r="J217" i="10" s="1"/>
  <c r="H299" i="10"/>
  <c r="J299" i="10" s="1"/>
  <c r="H200" i="10"/>
  <c r="J200" i="10" s="1"/>
  <c r="H293" i="10"/>
  <c r="J293" i="10" s="1"/>
  <c r="H276" i="10"/>
  <c r="J276" i="10" s="1"/>
  <c r="H167" i="10"/>
  <c r="J167" i="10" s="1"/>
  <c r="H245" i="10"/>
  <c r="J245" i="10" s="1"/>
  <c r="H15" i="10"/>
  <c r="J15" i="10" s="1"/>
  <c r="H47" i="10"/>
  <c r="J47" i="10" s="1"/>
  <c r="H215" i="10"/>
  <c r="J215" i="10" s="1"/>
  <c r="H115" i="10"/>
  <c r="J115" i="10" s="1"/>
  <c r="H129" i="10"/>
  <c r="J129" i="10" s="1"/>
  <c r="H30" i="10"/>
  <c r="J30" i="10" s="1"/>
  <c r="H127" i="10"/>
  <c r="J127" i="10" s="1"/>
  <c r="H4" i="10"/>
  <c r="J4" i="10" s="1"/>
  <c r="H61" i="10"/>
  <c r="J61" i="10" s="1"/>
  <c r="H29" i="10"/>
  <c r="J29" i="10" s="1"/>
  <c r="H93" i="10"/>
  <c r="J93" i="10" s="1"/>
  <c r="H105" i="10"/>
  <c r="J105" i="10" s="1"/>
  <c r="H64" i="10"/>
  <c r="J64" i="10" s="1"/>
  <c r="H96" i="10"/>
  <c r="J96" i="10" s="1"/>
  <c r="H128" i="10"/>
  <c r="J128" i="10" s="1"/>
  <c r="H288" i="10"/>
  <c r="J288" i="10" s="1"/>
  <c r="H247" i="10"/>
  <c r="J247" i="10" s="1"/>
  <c r="H66" i="10"/>
  <c r="J66" i="10" s="1"/>
  <c r="H98" i="10"/>
  <c r="J98" i="10" s="1"/>
  <c r="H130" i="10"/>
  <c r="J130" i="10" s="1"/>
  <c r="H244" i="10"/>
  <c r="J244" i="10" s="1"/>
  <c r="H150" i="10"/>
  <c r="J150" i="10" s="1"/>
  <c r="H182" i="10"/>
  <c r="J182" i="10" s="1"/>
  <c r="H224" i="10"/>
  <c r="J224" i="10" s="1"/>
  <c r="H262" i="10"/>
  <c r="J262" i="10" s="1"/>
  <c r="H235" i="10"/>
  <c r="J235" i="10" s="1"/>
  <c r="H191" i="10"/>
  <c r="J191" i="10" s="1"/>
  <c r="H284" i="10"/>
  <c r="J284" i="10" s="1"/>
  <c r="H168" i="10"/>
  <c r="J168" i="10" s="1"/>
  <c r="H202" i="10"/>
  <c r="J202" i="10" s="1"/>
  <c r="H248" i="10"/>
  <c r="J248" i="10" s="1"/>
  <c r="H295" i="10"/>
  <c r="J295" i="10" s="1"/>
  <c r="H289" i="10"/>
  <c r="J289" i="10" s="1"/>
  <c r="H171" i="10"/>
  <c r="J171" i="10" s="1"/>
  <c r="H206" i="10"/>
  <c r="J206" i="10" s="1"/>
  <c r="H252" i="10"/>
  <c r="J252" i="10" s="1"/>
  <c r="H143" i="10"/>
  <c r="J143" i="10" s="1"/>
  <c r="H11" i="10"/>
  <c r="J11" i="10" s="1"/>
  <c r="H60" i="10"/>
  <c r="J60" i="10" s="1"/>
  <c r="H62" i="10"/>
  <c r="J62" i="10" s="1"/>
  <c r="H178" i="10"/>
  <c r="J178" i="10" s="1"/>
  <c r="H164" i="10"/>
  <c r="J164" i="10" s="1"/>
  <c r="H69" i="10"/>
  <c r="J69" i="10" s="1"/>
  <c r="H10" i="10"/>
  <c r="J10" i="10" s="1"/>
  <c r="H198" i="10"/>
  <c r="J198" i="10" s="1"/>
  <c r="H53" i="10"/>
  <c r="J53" i="10" s="1"/>
  <c r="H65" i="10"/>
  <c r="J65" i="10" s="1"/>
  <c r="H37" i="10"/>
  <c r="J37" i="10" s="1"/>
  <c r="H139" i="10"/>
  <c r="J139" i="10" s="1"/>
  <c r="H157" i="10"/>
  <c r="J157" i="10" s="1"/>
  <c r="H106" i="10"/>
  <c r="J106" i="10" s="1"/>
  <c r="H138" i="10"/>
  <c r="J138" i="10" s="1"/>
  <c r="H277" i="10"/>
  <c r="J277" i="10" s="1"/>
  <c r="H260" i="10"/>
  <c r="J260" i="10" s="1"/>
  <c r="H257" i="10"/>
  <c r="J257" i="10" s="1"/>
  <c r="H211" i="10"/>
  <c r="J211" i="10" s="1"/>
  <c r="H147" i="10"/>
  <c r="J147" i="10" s="1"/>
  <c r="H54" i="10"/>
  <c r="J54" i="10" s="1"/>
  <c r="H26" i="10"/>
  <c r="J26" i="10" s="1"/>
  <c r="H87" i="10"/>
  <c r="J87" i="10" s="1"/>
  <c r="H246" i="10"/>
  <c r="J246" i="10" s="1"/>
  <c r="H231" i="10"/>
  <c r="J231" i="10" s="1"/>
  <c r="H219" i="10"/>
  <c r="J219" i="10" s="1"/>
  <c r="H300" i="10"/>
  <c r="J300" i="10" s="1"/>
  <c r="H89" i="10"/>
  <c r="J89" i="10" s="1"/>
  <c r="H25" i="10"/>
  <c r="J25" i="10" s="1"/>
  <c r="H230" i="10"/>
  <c r="J230" i="10" s="1"/>
  <c r="H282" i="10"/>
  <c r="J282" i="10" s="1"/>
  <c r="H43" i="10"/>
  <c r="J43" i="10" s="1"/>
  <c r="H101" i="10"/>
  <c r="J101" i="10" s="1"/>
  <c r="H92" i="10"/>
  <c r="J92" i="10" s="1"/>
  <c r="H126" i="10"/>
  <c r="J126" i="10" s="1"/>
  <c r="H258" i="10"/>
  <c r="J258" i="10" s="1"/>
  <c r="H204" i="10"/>
  <c r="J204" i="10" s="1"/>
  <c r="H32" i="10"/>
  <c r="J32" i="10" s="1"/>
  <c r="H19" i="10"/>
  <c r="J19" i="10" s="1"/>
  <c r="H51" i="10"/>
  <c r="J51" i="10" s="1"/>
  <c r="H228" i="10"/>
  <c r="J228" i="10" s="1"/>
  <c r="H121" i="10"/>
  <c r="J121" i="10" s="1"/>
  <c r="H189" i="10"/>
  <c r="J189" i="10" s="1"/>
  <c r="H34" i="10"/>
  <c r="J34" i="10" s="1"/>
  <c r="H133" i="10"/>
  <c r="J133" i="10" s="1"/>
  <c r="H8" i="10"/>
  <c r="J8" i="10" s="1"/>
  <c r="H111" i="10"/>
  <c r="J111" i="10" s="1"/>
  <c r="H33" i="10"/>
  <c r="J33" i="10" s="1"/>
  <c r="H119" i="10"/>
  <c r="J119" i="10" s="1"/>
  <c r="H131" i="10"/>
  <c r="J131" i="10" s="1"/>
  <c r="H68" i="10"/>
  <c r="J68" i="10" s="1"/>
  <c r="H132" i="10"/>
  <c r="J132" i="10" s="1"/>
  <c r="H266" i="10"/>
  <c r="J266" i="10" s="1"/>
  <c r="H70" i="10"/>
  <c r="J70" i="10" s="1"/>
  <c r="H102" i="10"/>
  <c r="J102" i="10" s="1"/>
  <c r="H134" i="10"/>
  <c r="J134" i="10" s="1"/>
  <c r="H286" i="10"/>
  <c r="J286" i="10" s="1"/>
  <c r="H154" i="10"/>
  <c r="J154" i="10" s="1"/>
  <c r="H186" i="10"/>
  <c r="J186" i="10" s="1"/>
  <c r="H226" i="10"/>
  <c r="J226" i="10" s="1"/>
  <c r="H264" i="10"/>
  <c r="J264" i="10" s="1"/>
  <c r="H251" i="10"/>
  <c r="J251" i="10" s="1"/>
  <c r="H207" i="10"/>
  <c r="J207" i="10" s="1"/>
  <c r="H297" i="10"/>
  <c r="J297" i="10" s="1"/>
  <c r="H291" i="10"/>
  <c r="J291" i="10" s="1"/>
  <c r="H301" i="10"/>
  <c r="J301" i="10" s="1"/>
  <c r="H16" i="10"/>
  <c r="J16" i="10" s="1"/>
  <c r="H5" i="10"/>
  <c r="J5" i="10" s="1"/>
  <c r="H177" i="10"/>
  <c r="J177" i="10" s="1"/>
  <c r="H153" i="10"/>
  <c r="J153" i="10" s="1"/>
  <c r="H194" i="10"/>
  <c r="J194" i="10" s="1"/>
  <c r="H273" i="10"/>
  <c r="J273" i="10" s="1"/>
  <c r="H218" i="10"/>
  <c r="J218" i="10" s="1"/>
  <c r="H14" i="10"/>
  <c r="J14" i="10" s="1"/>
  <c r="H107" i="10"/>
  <c r="J107" i="10" s="1"/>
  <c r="H80" i="10"/>
  <c r="J80" i="10" s="1"/>
  <c r="H112" i="10"/>
  <c r="J112" i="10" s="1"/>
  <c r="H199" i="10"/>
  <c r="J199" i="10" s="1"/>
  <c r="H185" i="10"/>
  <c r="J185" i="10" s="1"/>
  <c r="H242" i="10"/>
  <c r="J242" i="10" s="1"/>
  <c r="H184" i="10"/>
  <c r="J184" i="10" s="1"/>
  <c r="H225" i="10"/>
  <c r="J225" i="10" s="1"/>
  <c r="H263" i="10"/>
  <c r="J263" i="10" s="1"/>
  <c r="H91" i="10"/>
  <c r="J91" i="10" s="1"/>
  <c r="H110" i="10"/>
  <c r="J110" i="10" s="1"/>
  <c r="H162" i="10"/>
  <c r="J162" i="10" s="1"/>
  <c r="H279" i="10"/>
  <c r="J279" i="10" s="1"/>
  <c r="H148" i="10"/>
  <c r="J148" i="10" s="1"/>
  <c r="H261" i="10"/>
  <c r="J261" i="10" s="1"/>
  <c r="H40" i="10"/>
  <c r="J40" i="10" s="1"/>
  <c r="H18" i="10"/>
  <c r="J18" i="10" s="1"/>
  <c r="H50" i="10"/>
  <c r="J50" i="10" s="1"/>
  <c r="H165" i="10"/>
  <c r="J165" i="10" s="1"/>
  <c r="H113" i="10"/>
  <c r="J113" i="10" s="1"/>
  <c r="H84" i="10"/>
  <c r="J84" i="10" s="1"/>
  <c r="H196" i="10"/>
  <c r="J196" i="10" s="1"/>
  <c r="H268" i="10"/>
  <c r="J268" i="10" s="1"/>
  <c r="H170" i="10"/>
  <c r="J170" i="10" s="1"/>
  <c r="H208" i="10"/>
  <c r="J208" i="10" s="1"/>
  <c r="H188" i="10"/>
  <c r="J188" i="10" s="1"/>
  <c r="H232" i="10"/>
  <c r="J232" i="10" s="1"/>
  <c r="H278" i="10"/>
  <c r="J278" i="10" s="1"/>
  <c r="H259" i="10"/>
  <c r="J259" i="10" s="1"/>
  <c r="H159" i="10"/>
  <c r="J159" i="10" s="1"/>
  <c r="H85" i="10"/>
  <c r="J85" i="10" s="1"/>
  <c r="H41" i="10"/>
  <c r="J41" i="10" s="1"/>
  <c r="H239" i="10"/>
  <c r="J239" i="10" s="1"/>
  <c r="H180" i="10"/>
  <c r="J180" i="10" s="1"/>
  <c r="H227" i="10"/>
  <c r="J227" i="10" s="1"/>
  <c r="H24" i="10"/>
  <c r="J24" i="10" s="1"/>
  <c r="H39" i="10"/>
  <c r="J39" i="10" s="1"/>
  <c r="H109" i="10"/>
  <c r="J109" i="10" s="1"/>
  <c r="H83" i="10"/>
  <c r="J83" i="10" s="1"/>
  <c r="H97" i="10"/>
  <c r="J97" i="10" s="1"/>
  <c r="H22" i="10"/>
  <c r="J22" i="10" s="1"/>
  <c r="H6" i="10"/>
  <c r="J6" i="10" s="1"/>
  <c r="H21" i="10"/>
  <c r="J21" i="10" s="1"/>
  <c r="H59" i="10"/>
  <c r="J59" i="10" s="1"/>
  <c r="H56" i="10"/>
  <c r="J56" i="10" s="1"/>
  <c r="H88" i="10"/>
  <c r="J88" i="10" s="1"/>
  <c r="H120" i="10"/>
  <c r="J120" i="10" s="1"/>
  <c r="H237" i="10"/>
  <c r="J237" i="10" s="1"/>
  <c r="H221" i="10"/>
  <c r="J221" i="10" s="1"/>
  <c r="H58" i="10"/>
  <c r="J58" i="10" s="1"/>
  <c r="H90" i="10"/>
  <c r="J90" i="10" s="1"/>
  <c r="H122" i="10"/>
  <c r="J122" i="10" s="1"/>
  <c r="H214" i="10"/>
  <c r="J214" i="10" s="1"/>
  <c r="H142" i="10"/>
  <c r="J142" i="10" s="1"/>
  <c r="H210" i="10"/>
  <c r="J210" i="10" s="1"/>
  <c r="H203" i="10"/>
  <c r="J203" i="10" s="1"/>
  <c r="H267" i="10"/>
  <c r="J267" i="10" s="1"/>
  <c r="H160" i="10"/>
  <c r="J160" i="10" s="1"/>
  <c r="H193" i="10"/>
  <c r="J193" i="10" s="1"/>
  <c r="H234" i="10"/>
  <c r="J234" i="10" s="1"/>
  <c r="H280" i="10"/>
  <c r="J280" i="10" s="1"/>
  <c r="H274" i="10"/>
  <c r="J274" i="10" s="1"/>
  <c r="H197" i="10"/>
  <c r="J197" i="10" s="1"/>
  <c r="H238" i="10"/>
  <c r="J238" i="10" s="1"/>
  <c r="H298" i="10"/>
  <c r="J298" i="10" s="1"/>
  <c r="J41" i="4"/>
  <c r="T55" i="8" s="1"/>
  <c r="U55" i="8" s="1"/>
  <c r="J36" i="4"/>
  <c r="J28" i="4"/>
  <c r="J35" i="4"/>
  <c r="J26" i="4"/>
  <c r="J33" i="4"/>
  <c r="J25" i="4"/>
  <c r="J38" i="4"/>
  <c r="J37" i="4"/>
  <c r="J27" i="4"/>
  <c r="J34" i="4"/>
  <c r="J40" i="4"/>
  <c r="J32" i="4"/>
  <c r="J24" i="4"/>
  <c r="J30" i="4"/>
  <c r="J29" i="4"/>
  <c r="J22" i="4"/>
  <c r="J39" i="4"/>
  <c r="J31" i="4"/>
  <c r="T54" i="8" s="1"/>
  <c r="J23" i="4"/>
  <c r="G27" i="4"/>
  <c r="G35" i="4"/>
  <c r="G28" i="4"/>
  <c r="G36" i="4"/>
  <c r="G21" i="4"/>
  <c r="J21" i="4" s="1"/>
  <c r="G29" i="4"/>
  <c r="G37" i="4"/>
  <c r="G22" i="4"/>
  <c r="G30" i="4"/>
  <c r="G38" i="4"/>
  <c r="G24" i="4"/>
  <c r="G32" i="4"/>
  <c r="G40" i="4"/>
  <c r="G25" i="4"/>
  <c r="G33" i="4"/>
  <c r="G23" i="4"/>
  <c r="G31" i="4"/>
  <c r="R54" i="8" s="1"/>
  <c r="G39" i="4"/>
  <c r="G26" i="4"/>
  <c r="G34" i="4"/>
  <c r="R47" i="1"/>
  <c r="O47" i="1"/>
  <c r="C9" i="1"/>
  <c r="E40" i="1"/>
  <c r="H40" i="1" l="1"/>
  <c r="C126" i="4"/>
  <c r="U54" i="8"/>
  <c r="H3" i="10"/>
  <c r="J3" i="10" s="1"/>
  <c r="K28" i="10"/>
  <c r="L28" i="10" s="1"/>
  <c r="K12" i="10"/>
  <c r="L12" i="10" s="1"/>
  <c r="K259" i="10"/>
  <c r="L259" i="10" s="1"/>
  <c r="K32" i="10"/>
  <c r="L32" i="10" s="1"/>
  <c r="K16" i="10"/>
  <c r="L16" i="10" s="1"/>
  <c r="K24" i="10"/>
  <c r="L24" i="10" s="1"/>
  <c r="K40" i="10"/>
  <c r="L40" i="10" s="1"/>
  <c r="K273" i="10"/>
  <c r="L273" i="10" s="1"/>
  <c r="K226" i="10"/>
  <c r="L226" i="10" s="1"/>
  <c r="K187" i="10"/>
  <c r="L187" i="10" s="1"/>
  <c r="K155" i="10"/>
  <c r="L155" i="10" s="1"/>
  <c r="K260" i="10"/>
  <c r="L260" i="10" s="1"/>
  <c r="K224" i="10"/>
  <c r="L224" i="10" s="1"/>
  <c r="K183" i="10"/>
  <c r="L183" i="10" s="1"/>
  <c r="K151" i="10"/>
  <c r="L151" i="10" s="1"/>
  <c r="K247" i="10"/>
  <c r="L247" i="10" s="1"/>
  <c r="K268" i="10"/>
  <c r="L268" i="10" s="1"/>
  <c r="K222" i="10"/>
  <c r="L222" i="10" s="1"/>
  <c r="K184" i="10"/>
  <c r="L184" i="10" s="1"/>
  <c r="K152" i="10"/>
  <c r="L152" i="10" s="1"/>
  <c r="K227" i="10"/>
  <c r="L227" i="10" s="1"/>
  <c r="K261" i="10"/>
  <c r="L261" i="10" s="1"/>
  <c r="K267" i="10"/>
  <c r="L267" i="10" s="1"/>
  <c r="K221" i="10"/>
  <c r="L221" i="10" s="1"/>
  <c r="K182" i="10"/>
  <c r="L182" i="10" s="1"/>
  <c r="K150" i="10"/>
  <c r="L150" i="10" s="1"/>
  <c r="K209" i="10"/>
  <c r="L209" i="10" s="1"/>
  <c r="K118" i="10"/>
  <c r="L118" i="10" s="1"/>
  <c r="K86" i="10"/>
  <c r="L86" i="10" s="1"/>
  <c r="K54" i="10"/>
  <c r="L54" i="10" s="1"/>
  <c r="K216" i="10"/>
  <c r="L216" i="10" s="1"/>
  <c r="K202" i="10"/>
  <c r="L202" i="10" s="1"/>
  <c r="K116" i="10"/>
  <c r="L116" i="10" s="1"/>
  <c r="K84" i="10"/>
  <c r="L84" i="10" s="1"/>
  <c r="K52" i="10"/>
  <c r="L52" i="10" s="1"/>
  <c r="K95" i="10"/>
  <c r="L95" i="10" s="1"/>
  <c r="K121" i="10"/>
  <c r="L121" i="10" s="1"/>
  <c r="K41" i="10"/>
  <c r="L41" i="10" s="1"/>
  <c r="K8" i="10"/>
  <c r="L8" i="10" s="1"/>
  <c r="K109" i="10"/>
  <c r="L109" i="10" s="1"/>
  <c r="K51" i="10"/>
  <c r="L51" i="10" s="1"/>
  <c r="K91" i="10"/>
  <c r="L91" i="10" s="1"/>
  <c r="K30" i="10"/>
  <c r="L30" i="10" s="1"/>
  <c r="K269" i="10"/>
  <c r="L269" i="10" s="1"/>
  <c r="K53" i="10"/>
  <c r="L53" i="10" s="1"/>
  <c r="K131" i="10"/>
  <c r="L131" i="10" s="1"/>
  <c r="K27" i="10"/>
  <c r="L27" i="10" s="1"/>
  <c r="K36" i="10"/>
  <c r="L36" i="10" s="1"/>
  <c r="K300" i="10"/>
  <c r="L300" i="10" s="1"/>
  <c r="K295" i="10"/>
  <c r="L295" i="10" s="1"/>
  <c r="K170" i="10"/>
  <c r="L170" i="10" s="1"/>
  <c r="K74" i="10"/>
  <c r="L74" i="10" s="1"/>
  <c r="K136" i="10"/>
  <c r="L136" i="10" s="1"/>
  <c r="K161" i="10"/>
  <c r="L161" i="10" s="1"/>
  <c r="K29" i="10"/>
  <c r="L29" i="10" s="1"/>
  <c r="K276" i="10"/>
  <c r="L276" i="10" s="1"/>
  <c r="K117" i="10"/>
  <c r="L117" i="10" s="1"/>
  <c r="K15" i="10"/>
  <c r="L15" i="10" s="1"/>
  <c r="K258" i="10"/>
  <c r="L258" i="10" s="1"/>
  <c r="K217" i="10"/>
  <c r="L217" i="10" s="1"/>
  <c r="K179" i="10"/>
  <c r="L179" i="10" s="1"/>
  <c r="K147" i="10"/>
  <c r="L147" i="10" s="1"/>
  <c r="K231" i="10"/>
  <c r="L231" i="10" s="1"/>
  <c r="K266" i="10"/>
  <c r="L266" i="10" s="1"/>
  <c r="K220" i="10"/>
  <c r="L220" i="10" s="1"/>
  <c r="K180" i="10"/>
  <c r="L180" i="10" s="1"/>
  <c r="K148" i="10"/>
  <c r="L148" i="10" s="1"/>
  <c r="K211" i="10"/>
  <c r="L211" i="10" s="1"/>
  <c r="K255" i="10"/>
  <c r="L255" i="10" s="1"/>
  <c r="K265" i="10"/>
  <c r="L265" i="10" s="1"/>
  <c r="K214" i="10"/>
  <c r="L214" i="10" s="1"/>
  <c r="K178" i="10"/>
  <c r="L178" i="10" s="1"/>
  <c r="K146" i="10"/>
  <c r="L146" i="10" s="1"/>
  <c r="K200" i="10"/>
  <c r="L200" i="10" s="1"/>
  <c r="K114" i="10"/>
  <c r="L114" i="10" s="1"/>
  <c r="K82" i="10"/>
  <c r="L82" i="10" s="1"/>
  <c r="K274" i="10"/>
  <c r="L274" i="10" s="1"/>
  <c r="K203" i="10"/>
  <c r="L203" i="10" s="1"/>
  <c r="K185" i="10"/>
  <c r="L185" i="10" s="1"/>
  <c r="K112" i="10"/>
  <c r="L112" i="10" s="1"/>
  <c r="K80" i="10"/>
  <c r="L80" i="10" s="1"/>
  <c r="K291" i="10"/>
  <c r="L291" i="10" s="1"/>
  <c r="K71" i="10"/>
  <c r="L71" i="10" s="1"/>
  <c r="K115" i="10"/>
  <c r="L115" i="10" s="1"/>
  <c r="K37" i="10"/>
  <c r="L37" i="10" s="1"/>
  <c r="K5" i="10"/>
  <c r="L5" i="10" s="1"/>
  <c r="K103" i="10"/>
  <c r="L103" i="10" s="1"/>
  <c r="K107" i="10"/>
  <c r="L107" i="10" s="1"/>
  <c r="K59" i="10"/>
  <c r="L59" i="10" s="1"/>
  <c r="K26" i="10"/>
  <c r="L26" i="10" s="1"/>
  <c r="K235" i="10"/>
  <c r="L235" i="10" s="1"/>
  <c r="K10" i="10"/>
  <c r="L10" i="10" s="1"/>
  <c r="K105" i="10"/>
  <c r="L105" i="10" s="1"/>
  <c r="K23" i="10"/>
  <c r="L23" i="10" s="1"/>
  <c r="K249" i="10"/>
  <c r="L249" i="10" s="1"/>
  <c r="K171" i="10"/>
  <c r="L171" i="10" s="1"/>
  <c r="K199" i="10"/>
  <c r="L199" i="10" s="1"/>
  <c r="K206" i="10"/>
  <c r="L206" i="10" s="1"/>
  <c r="K287" i="10"/>
  <c r="L287" i="10" s="1"/>
  <c r="K246" i="10"/>
  <c r="L246" i="10" s="1"/>
  <c r="K271" i="10"/>
  <c r="L271" i="10" s="1"/>
  <c r="K106" i="10"/>
  <c r="L106" i="10" s="1"/>
  <c r="K135" i="10"/>
  <c r="L135" i="10" s="1"/>
  <c r="K72" i="10"/>
  <c r="L72" i="10" s="1"/>
  <c r="K83" i="10"/>
  <c r="L83" i="10" s="1"/>
  <c r="K63" i="10"/>
  <c r="L63" i="10" s="1"/>
  <c r="K18" i="10"/>
  <c r="L18" i="10" s="1"/>
  <c r="K93" i="10"/>
  <c r="L93" i="10" s="1"/>
  <c r="K301" i="10"/>
  <c r="L301" i="10" s="1"/>
  <c r="K256" i="10"/>
  <c r="L256" i="10" s="1"/>
  <c r="K210" i="10"/>
  <c r="L210" i="10" s="1"/>
  <c r="K175" i="10"/>
  <c r="L175" i="10" s="1"/>
  <c r="K143" i="10"/>
  <c r="L143" i="10" s="1"/>
  <c r="K215" i="10"/>
  <c r="L215" i="10" s="1"/>
  <c r="K254" i="10"/>
  <c r="L254" i="10" s="1"/>
  <c r="K213" i="10"/>
  <c r="L213" i="10" s="1"/>
  <c r="K176" i="10"/>
  <c r="L176" i="10" s="1"/>
  <c r="K144" i="10"/>
  <c r="L144" i="10" s="1"/>
  <c r="K195" i="10"/>
  <c r="L195" i="10" s="1"/>
  <c r="K239" i="10"/>
  <c r="L239" i="10" s="1"/>
  <c r="K253" i="10"/>
  <c r="L253" i="10" s="1"/>
  <c r="K212" i="10"/>
  <c r="L212" i="10" s="1"/>
  <c r="K174" i="10"/>
  <c r="L174" i="10" s="1"/>
  <c r="K142" i="10"/>
  <c r="L142" i="10" s="1"/>
  <c r="K169" i="10"/>
  <c r="L169" i="10" s="1"/>
  <c r="K110" i="10"/>
  <c r="L110" i="10" s="1"/>
  <c r="K78" i="10"/>
  <c r="L78" i="10" s="1"/>
  <c r="K145" i="10"/>
  <c r="L145" i="10" s="1"/>
  <c r="K149" i="10"/>
  <c r="L149" i="10" s="1"/>
  <c r="K157" i="10"/>
  <c r="L157" i="10" s="1"/>
  <c r="K108" i="10"/>
  <c r="L108" i="10" s="1"/>
  <c r="K76" i="10"/>
  <c r="L76" i="10" s="1"/>
  <c r="K181" i="10"/>
  <c r="L181" i="10" s="1"/>
  <c r="K69" i="10"/>
  <c r="L69" i="10" s="1"/>
  <c r="K89" i="10"/>
  <c r="L89" i="10" s="1"/>
  <c r="K33" i="10"/>
  <c r="L33" i="10" s="1"/>
  <c r="K6" i="10"/>
  <c r="L6" i="10" s="1"/>
  <c r="K77" i="10"/>
  <c r="L77" i="10" s="1"/>
  <c r="K75" i="10"/>
  <c r="L75" i="10" s="1"/>
  <c r="K57" i="10"/>
  <c r="L57" i="10" s="1"/>
  <c r="K22" i="10"/>
  <c r="L22" i="10" s="1"/>
  <c r="K177" i="10"/>
  <c r="L177" i="10" s="1"/>
  <c r="K125" i="10"/>
  <c r="L125" i="10" s="1"/>
  <c r="K99" i="10"/>
  <c r="L99" i="10" s="1"/>
  <c r="K19" i="10"/>
  <c r="L19" i="10" s="1"/>
  <c r="K208" i="10"/>
  <c r="L208" i="10" s="1"/>
  <c r="K294" i="10"/>
  <c r="L294" i="10" s="1"/>
  <c r="K252" i="10"/>
  <c r="L252" i="10" s="1"/>
  <c r="K172" i="10"/>
  <c r="L172" i="10" s="1"/>
  <c r="K223" i="10"/>
  <c r="L223" i="10" s="1"/>
  <c r="K205" i="10"/>
  <c r="L205" i="10" s="1"/>
  <c r="K138" i="10"/>
  <c r="L138" i="10" s="1"/>
  <c r="K141" i="10"/>
  <c r="L141" i="10" s="1"/>
  <c r="K104" i="10"/>
  <c r="L104" i="10" s="1"/>
  <c r="K7" i="10"/>
  <c r="L7" i="10" s="1"/>
  <c r="K218" i="10"/>
  <c r="L218" i="10" s="1"/>
  <c r="K50" i="10"/>
  <c r="L50" i="10" s="1"/>
  <c r="K47" i="10"/>
  <c r="L47" i="10" s="1"/>
  <c r="K290" i="10"/>
  <c r="L290" i="10" s="1"/>
  <c r="K240" i="10"/>
  <c r="L240" i="10" s="1"/>
  <c r="K194" i="10"/>
  <c r="L194" i="10" s="1"/>
  <c r="K163" i="10"/>
  <c r="L163" i="10" s="1"/>
  <c r="K277" i="10"/>
  <c r="L277" i="10" s="1"/>
  <c r="K296" i="10"/>
  <c r="L296" i="10" s="1"/>
  <c r="K238" i="10"/>
  <c r="L238" i="10" s="1"/>
  <c r="K197" i="10"/>
  <c r="L197" i="10" s="1"/>
  <c r="K164" i="10"/>
  <c r="L164" i="10" s="1"/>
  <c r="K272" i="10"/>
  <c r="L272" i="10" s="1"/>
  <c r="K280" i="10"/>
  <c r="L280" i="10" s="1"/>
  <c r="K191" i="10"/>
  <c r="L191" i="10" s="1"/>
  <c r="K237" i="10"/>
  <c r="L237" i="10" s="1"/>
  <c r="K196" i="10"/>
  <c r="L196" i="10" s="1"/>
  <c r="K162" i="10"/>
  <c r="L162" i="10" s="1"/>
  <c r="K289" i="10"/>
  <c r="L289" i="10" s="1"/>
  <c r="K130" i="10"/>
  <c r="L130" i="10" s="1"/>
  <c r="K98" i="10"/>
  <c r="L98" i="10" s="1"/>
  <c r="K66" i="10"/>
  <c r="L66" i="10" s="1"/>
  <c r="K288" i="10"/>
  <c r="L288" i="10" s="1"/>
  <c r="K241" i="10"/>
  <c r="L241" i="10" s="1"/>
  <c r="K128" i="10"/>
  <c r="L128" i="10" s="1"/>
  <c r="K96" i="10"/>
  <c r="L96" i="10" s="1"/>
  <c r="K64" i="10"/>
  <c r="L64" i="10" s="1"/>
  <c r="K133" i="10"/>
  <c r="L133" i="10" s="1"/>
  <c r="K65" i="10"/>
  <c r="L65" i="10" s="1"/>
  <c r="K21" i="10"/>
  <c r="L21" i="10" s="1"/>
  <c r="K81" i="10"/>
  <c r="L81" i="10" s="1"/>
  <c r="K9" i="10"/>
  <c r="L9" i="10" s="1"/>
  <c r="K129" i="10"/>
  <c r="L129" i="10" s="1"/>
  <c r="K42" i="10"/>
  <c r="L42" i="10" s="1"/>
  <c r="K87" i="10"/>
  <c r="L87" i="10" s="1"/>
  <c r="K85" i="10"/>
  <c r="L85" i="10" s="1"/>
  <c r="K48" i="10"/>
  <c r="L48" i="10" s="1"/>
  <c r="K39" i="10"/>
  <c r="L39" i="10" s="1"/>
  <c r="K275" i="10"/>
  <c r="L275" i="10" s="1"/>
  <c r="K233" i="10"/>
  <c r="L233" i="10" s="1"/>
  <c r="K192" i="10"/>
  <c r="L192" i="10" s="1"/>
  <c r="K159" i="10"/>
  <c r="L159" i="10" s="1"/>
  <c r="K264" i="10"/>
  <c r="L264" i="10" s="1"/>
  <c r="K283" i="10"/>
  <c r="L283" i="10" s="1"/>
  <c r="K236" i="10"/>
  <c r="L236" i="10" s="1"/>
  <c r="K190" i="10"/>
  <c r="L190" i="10" s="1"/>
  <c r="K160" i="10"/>
  <c r="L160" i="10" s="1"/>
  <c r="K270" i="10"/>
  <c r="L270" i="10" s="1"/>
  <c r="K278" i="10"/>
  <c r="L278" i="10" s="1"/>
  <c r="K284" i="10"/>
  <c r="L284" i="10" s="1"/>
  <c r="K230" i="10"/>
  <c r="L230" i="10" s="1"/>
  <c r="K189" i="10"/>
  <c r="L189" i="10" s="1"/>
  <c r="K158" i="10"/>
  <c r="L158" i="10" s="1"/>
  <c r="K251" i="10"/>
  <c r="L251" i="10" s="1"/>
  <c r="K126" i="10"/>
  <c r="L126" i="10" s="1"/>
  <c r="K94" i="10"/>
  <c r="L94" i="10" s="1"/>
  <c r="K62" i="10"/>
  <c r="L62" i="10" s="1"/>
  <c r="K250" i="10"/>
  <c r="L250" i="10" s="1"/>
  <c r="K232" i="10"/>
  <c r="L232" i="10" s="1"/>
  <c r="K124" i="10"/>
  <c r="L124" i="10" s="1"/>
  <c r="K92" i="10"/>
  <c r="L92" i="10" s="1"/>
  <c r="K127" i="10"/>
  <c r="L127" i="10" s="1"/>
  <c r="K153" i="10"/>
  <c r="L153" i="10" s="1"/>
  <c r="K49" i="10"/>
  <c r="L49" i="10" s="1"/>
  <c r="K17" i="10"/>
  <c r="L17" i="10" s="1"/>
  <c r="K44" i="10"/>
  <c r="L44" i="10" s="1"/>
  <c r="K4" i="10"/>
  <c r="L4" i="10" s="1"/>
  <c r="K123" i="10"/>
  <c r="L123" i="10" s="1"/>
  <c r="K38" i="10"/>
  <c r="L38" i="10" s="1"/>
  <c r="K286" i="10"/>
  <c r="L286" i="10" s="1"/>
  <c r="K79" i="10"/>
  <c r="L79" i="10" s="1"/>
  <c r="K248" i="10"/>
  <c r="L248" i="10" s="1"/>
  <c r="K35" i="10"/>
  <c r="L35" i="10" s="1"/>
  <c r="K20" i="10"/>
  <c r="L20" i="10" s="1"/>
  <c r="K292" i="10"/>
  <c r="L292" i="10" s="1"/>
  <c r="K245" i="10"/>
  <c r="L245" i="10" s="1"/>
  <c r="K293" i="10"/>
  <c r="L293" i="10" s="1"/>
  <c r="K166" i="10"/>
  <c r="L166" i="10" s="1"/>
  <c r="K70" i="10"/>
  <c r="L70" i="10" s="1"/>
  <c r="K100" i="10"/>
  <c r="L100" i="10" s="1"/>
  <c r="K61" i="10"/>
  <c r="L61" i="10" s="1"/>
  <c r="K111" i="10"/>
  <c r="L111" i="10" s="1"/>
  <c r="K244" i="10"/>
  <c r="L244" i="10" s="1"/>
  <c r="K25" i="10"/>
  <c r="L25" i="10" s="1"/>
  <c r="K90" i="10"/>
  <c r="L90" i="10" s="1"/>
  <c r="K242" i="10"/>
  <c r="L242" i="10" s="1"/>
  <c r="K229" i="10"/>
  <c r="L229" i="10" s="1"/>
  <c r="K263" i="10"/>
  <c r="L263" i="10" s="1"/>
  <c r="K154" i="10"/>
  <c r="L154" i="10" s="1"/>
  <c r="K58" i="10"/>
  <c r="L58" i="10" s="1"/>
  <c r="K88" i="10"/>
  <c r="L88" i="10" s="1"/>
  <c r="K140" i="10"/>
  <c r="L140" i="10" s="1"/>
  <c r="K119" i="10"/>
  <c r="L119" i="10" s="1"/>
  <c r="K55" i="10"/>
  <c r="L55" i="10" s="1"/>
  <c r="K279" i="10"/>
  <c r="L279" i="10" s="1"/>
  <c r="K56" i="10"/>
  <c r="L56" i="10" s="1"/>
  <c r="K14" i="10"/>
  <c r="L14" i="10" s="1"/>
  <c r="K186" i="10"/>
  <c r="L186" i="10" s="1"/>
  <c r="K73" i="10"/>
  <c r="L73" i="10" s="1"/>
  <c r="K201" i="10"/>
  <c r="L201" i="10" s="1"/>
  <c r="K204" i="10"/>
  <c r="L204" i="10" s="1"/>
  <c r="K207" i="10"/>
  <c r="L207" i="10" s="1"/>
  <c r="K173" i="10"/>
  <c r="L173" i="10" s="1"/>
  <c r="K298" i="10"/>
  <c r="L298" i="10" s="1"/>
  <c r="K68" i="10"/>
  <c r="L68" i="10" s="1"/>
  <c r="K67" i="10"/>
  <c r="L67" i="10" s="1"/>
  <c r="K139" i="10"/>
  <c r="L139" i="10" s="1"/>
  <c r="K113" i="10"/>
  <c r="L113" i="10" s="1"/>
  <c r="K134" i="10"/>
  <c r="L134" i="10" s="1"/>
  <c r="K43" i="10"/>
  <c r="L43" i="10" s="1"/>
  <c r="K281" i="10"/>
  <c r="L281" i="10" s="1"/>
  <c r="K3" i="10"/>
  <c r="L3" i="10" s="1"/>
  <c r="K167" i="10"/>
  <c r="L167" i="10" s="1"/>
  <c r="K188" i="10"/>
  <c r="L188" i="10" s="1"/>
  <c r="K282" i="10"/>
  <c r="L282" i="10" s="1"/>
  <c r="K234" i="10"/>
  <c r="L234" i="10" s="1"/>
  <c r="K225" i="10"/>
  <c r="L225" i="10" s="1"/>
  <c r="K60" i="10"/>
  <c r="L60" i="10" s="1"/>
  <c r="K45" i="10"/>
  <c r="L45" i="10" s="1"/>
  <c r="K97" i="10"/>
  <c r="L97" i="10" s="1"/>
  <c r="K165" i="10"/>
  <c r="L165" i="10" s="1"/>
  <c r="K168" i="10"/>
  <c r="L168" i="10" s="1"/>
  <c r="K297" i="10"/>
  <c r="L297" i="10" s="1"/>
  <c r="K46" i="10"/>
  <c r="L46" i="10" s="1"/>
  <c r="K11" i="10"/>
  <c r="L11" i="10" s="1"/>
  <c r="K243" i="10"/>
  <c r="L243" i="10" s="1"/>
  <c r="K257" i="10"/>
  <c r="L257" i="10" s="1"/>
  <c r="K262" i="10"/>
  <c r="L262" i="10" s="1"/>
  <c r="K156" i="10"/>
  <c r="L156" i="10" s="1"/>
  <c r="K228" i="10"/>
  <c r="L228" i="10" s="1"/>
  <c r="K122" i="10"/>
  <c r="L122" i="10" s="1"/>
  <c r="K219" i="10"/>
  <c r="L219" i="10" s="1"/>
  <c r="K193" i="10"/>
  <c r="L193" i="10" s="1"/>
  <c r="K13" i="10"/>
  <c r="L13" i="10" s="1"/>
  <c r="K34" i="10"/>
  <c r="L34" i="10" s="1"/>
  <c r="K31" i="10"/>
  <c r="L31" i="10" s="1"/>
  <c r="K299" i="10"/>
  <c r="L299" i="10" s="1"/>
  <c r="K285" i="10"/>
  <c r="L285" i="10" s="1"/>
  <c r="K198" i="10"/>
  <c r="L198" i="10" s="1"/>
  <c r="K102" i="10"/>
  <c r="L102" i="10" s="1"/>
  <c r="K132" i="10"/>
  <c r="L132" i="10" s="1"/>
  <c r="K101" i="10"/>
  <c r="L101" i="10" s="1"/>
  <c r="K137" i="10"/>
  <c r="L137" i="10" s="1"/>
  <c r="K120" i="10"/>
  <c r="L120" i="10" s="1"/>
  <c r="E48" i="1"/>
  <c r="C134" i="4" s="1"/>
  <c r="E47" i="1"/>
  <c r="H47" i="1" l="1"/>
  <c r="C133" i="4"/>
  <c r="E53" i="1"/>
  <c r="E46" i="1"/>
  <c r="C132" i="4" s="1"/>
  <c r="J50" i="1"/>
  <c r="E45" i="1"/>
  <c r="C131" i="4" s="1"/>
  <c r="E44" i="1"/>
  <c r="C130" i="4" s="1"/>
  <c r="E43" i="1"/>
  <c r="C129" i="4" s="1"/>
  <c r="E42" i="1"/>
  <c r="C128" i="4" s="1"/>
  <c r="E39" i="1"/>
  <c r="C125" i="4" s="1"/>
  <c r="E38" i="1"/>
  <c r="C124" i="4" s="1"/>
  <c r="E37" i="1"/>
  <c r="C123" i="4" s="1"/>
  <c r="E36" i="1"/>
  <c r="C122" i="4" s="1"/>
  <c r="E35" i="1"/>
  <c r="C121" i="4" s="1"/>
  <c r="E34" i="1"/>
  <c r="C120" i="4" s="1"/>
  <c r="E33" i="1"/>
  <c r="C119" i="4" s="1"/>
  <c r="E32" i="1"/>
  <c r="C118" i="4" s="1"/>
  <c r="E31" i="1"/>
  <c r="C117" i="4" s="1"/>
  <c r="E30" i="1"/>
  <c r="C116" i="4" s="1"/>
  <c r="E29" i="1"/>
  <c r="C115" i="4" s="1"/>
  <c r="E28" i="1"/>
  <c r="C114" i="4" s="1"/>
  <c r="E27" i="1"/>
  <c r="E26" i="1"/>
  <c r="C112" i="4" s="1"/>
  <c r="E24" i="1"/>
  <c r="C110" i="4" s="1"/>
  <c r="E23" i="1"/>
  <c r="C109" i="4" s="1"/>
  <c r="E22" i="1"/>
  <c r="C108" i="4" s="1"/>
  <c r="E21" i="1"/>
  <c r="C107" i="4" s="1"/>
  <c r="F40" i="1"/>
  <c r="C113" i="4" l="1"/>
  <c r="F27" i="1"/>
  <c r="C50" i="1"/>
  <c r="F19" i="8"/>
  <c r="C51" i="1"/>
  <c r="B16" i="1"/>
  <c r="F31" i="1"/>
  <c r="H31" i="1"/>
  <c r="F23" i="1"/>
  <c r="H23" i="1"/>
  <c r="F28" i="1"/>
  <c r="H28" i="1"/>
  <c r="F32" i="1"/>
  <c r="H32" i="1"/>
  <c r="F36" i="1"/>
  <c r="H36" i="1"/>
  <c r="F42" i="1"/>
  <c r="H42" i="1"/>
  <c r="F46" i="1"/>
  <c r="H46" i="1"/>
  <c r="F22" i="1"/>
  <c r="H22" i="1"/>
  <c r="H27" i="1"/>
  <c r="F35" i="1"/>
  <c r="H35" i="1"/>
  <c r="F39" i="1"/>
  <c r="H39" i="1"/>
  <c r="F45" i="1"/>
  <c r="H45" i="1"/>
  <c r="F24" i="1"/>
  <c r="H24" i="1"/>
  <c r="F29" i="1"/>
  <c r="H29" i="1"/>
  <c r="F33" i="1"/>
  <c r="H33" i="1"/>
  <c r="F37" i="1"/>
  <c r="H37" i="1"/>
  <c r="F43" i="1"/>
  <c r="H43" i="1"/>
  <c r="F21" i="1"/>
  <c r="H21" i="1"/>
  <c r="F26" i="1"/>
  <c r="H26" i="1"/>
  <c r="F30" i="1"/>
  <c r="H30" i="1"/>
  <c r="F34" i="1"/>
  <c r="H34" i="1"/>
  <c r="F38" i="1"/>
  <c r="H38" i="1"/>
  <c r="F44" i="1"/>
  <c r="H44" i="1"/>
  <c r="J51" i="1"/>
  <c r="C10" i="1"/>
  <c r="C11" i="1"/>
  <c r="E25" i="1"/>
  <c r="C111" i="4" s="1"/>
  <c r="H51" i="1" l="1"/>
  <c r="F51" i="1"/>
  <c r="F20" i="8"/>
  <c r="F25" i="1"/>
  <c r="H25" i="1"/>
  <c r="L49" i="1"/>
  <c r="L54" i="1" s="1"/>
  <c r="F22" i="8" s="1"/>
  <c r="E41" i="1"/>
  <c r="H41" i="1" l="1"/>
  <c r="H49" i="1" s="1"/>
  <c r="H54" i="1" s="1"/>
  <c r="C127" i="4"/>
  <c r="E54" i="1"/>
  <c r="F30" i="8" s="1"/>
  <c r="F41" i="1"/>
  <c r="F49" i="1" s="1"/>
  <c r="F54" i="1" s="1"/>
  <c r="D217" i="4"/>
  <c r="C208" i="4"/>
  <c r="D156" i="4"/>
  <c r="D189" i="4"/>
  <c r="E171" i="4"/>
  <c r="D171" i="4"/>
  <c r="C166" i="4"/>
  <c r="F163" i="4"/>
  <c r="H101" i="4"/>
  <c r="H100" i="4"/>
  <c r="H99" i="4"/>
  <c r="E91" i="4"/>
  <c r="E92" i="4" s="1"/>
  <c r="E93" i="4" s="1"/>
  <c r="E94" i="4" s="1"/>
  <c r="E95" i="4" s="1"/>
  <c r="D91" i="4"/>
  <c r="D92" i="4" s="1"/>
  <c r="D93" i="4" s="1"/>
  <c r="D94" i="4" s="1"/>
  <c r="D95" i="4" s="1"/>
  <c r="C91" i="4"/>
  <c r="C92" i="4" s="1"/>
  <c r="C93" i="4" s="1"/>
  <c r="C94" i="4" s="1"/>
  <c r="C95" i="4" s="1"/>
  <c r="H80" i="4"/>
  <c r="G80" i="4"/>
  <c r="F80" i="4"/>
  <c r="H79" i="4"/>
  <c r="G79" i="4"/>
  <c r="F79" i="4"/>
  <c r="H78" i="4"/>
  <c r="G78" i="4"/>
  <c r="F78" i="4"/>
  <c r="H77" i="4"/>
  <c r="G77" i="4"/>
  <c r="F77" i="4"/>
  <c r="H76" i="4"/>
  <c r="G76" i="4"/>
  <c r="F76" i="4"/>
  <c r="H75" i="4"/>
  <c r="G75" i="4"/>
  <c r="F75" i="4"/>
  <c r="H74" i="4"/>
  <c r="G74" i="4"/>
  <c r="F74" i="4"/>
  <c r="H73" i="4"/>
  <c r="G73" i="4"/>
  <c r="F73" i="4"/>
  <c r="H72" i="4"/>
  <c r="G72" i="4"/>
  <c r="F72" i="4"/>
  <c r="H71" i="4"/>
  <c r="G71" i="4"/>
  <c r="F71" i="4"/>
  <c r="H70" i="4"/>
  <c r="G70" i="4"/>
  <c r="F70" i="4"/>
  <c r="H69" i="4"/>
  <c r="G69" i="4"/>
  <c r="F69" i="4"/>
  <c r="H68" i="4"/>
  <c r="G68" i="4"/>
  <c r="F68"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56" i="4"/>
  <c r="G56" i="4"/>
  <c r="F56" i="4"/>
  <c r="H55" i="4"/>
  <c r="G55" i="4"/>
  <c r="F55" i="4"/>
  <c r="H54" i="4"/>
  <c r="G54" i="4"/>
  <c r="F54" i="4"/>
  <c r="H53" i="4"/>
  <c r="G53" i="4"/>
  <c r="F53" i="4"/>
  <c r="H52" i="4"/>
  <c r="G52" i="4"/>
  <c r="F52" i="4"/>
  <c r="H51" i="4"/>
  <c r="G51" i="4"/>
  <c r="F51" i="4"/>
  <c r="H50" i="4"/>
  <c r="G50" i="4"/>
  <c r="F50" i="4"/>
  <c r="H49" i="4"/>
  <c r="G49" i="4"/>
  <c r="F49" i="4"/>
  <c r="H48" i="4"/>
  <c r="G48" i="4"/>
  <c r="F48" i="4"/>
  <c r="H47" i="4"/>
  <c r="G47" i="4"/>
  <c r="F47" i="4"/>
  <c r="H46" i="4"/>
  <c r="G46" i="4"/>
  <c r="F46" i="4"/>
  <c r="H45" i="4"/>
  <c r="G45" i="4"/>
  <c r="F45" i="4"/>
  <c r="R41" i="4"/>
  <c r="Q41" i="4"/>
  <c r="R40" i="4"/>
  <c r="Q40" i="4"/>
  <c r="R39" i="4"/>
  <c r="Q39" i="4"/>
  <c r="R38" i="4"/>
  <c r="Q38" i="4"/>
  <c r="R37" i="4"/>
  <c r="Q37" i="4"/>
  <c r="R36" i="4"/>
  <c r="Q36" i="4"/>
  <c r="R35" i="4"/>
  <c r="Q35" i="4"/>
  <c r="R34" i="4"/>
  <c r="Q34" i="4"/>
  <c r="R33" i="4"/>
  <c r="Q33" i="4"/>
  <c r="R32" i="4"/>
  <c r="Q32" i="4"/>
  <c r="R31" i="4"/>
  <c r="Q31" i="4"/>
  <c r="R30" i="4"/>
  <c r="Q30" i="4"/>
  <c r="R29" i="4"/>
  <c r="Q29" i="4"/>
  <c r="R28" i="4"/>
  <c r="Q28" i="4"/>
  <c r="R27" i="4"/>
  <c r="Q27" i="4"/>
  <c r="R26" i="4"/>
  <c r="Q26" i="4"/>
  <c r="R25" i="4"/>
  <c r="Q25" i="4"/>
  <c r="R24" i="4"/>
  <c r="Q24" i="4"/>
  <c r="R23" i="4"/>
  <c r="Q23" i="4"/>
  <c r="R22" i="4"/>
  <c r="Q22" i="4"/>
  <c r="T21" i="4"/>
  <c r="T22" i="4" s="1"/>
  <c r="T23" i="4" s="1"/>
  <c r="T24" i="4" s="1"/>
  <c r="T25" i="4" s="1"/>
  <c r="T26" i="4" s="1"/>
  <c r="T27" i="4" s="1"/>
  <c r="T28" i="4" s="1"/>
  <c r="T29" i="4" s="1"/>
  <c r="T30" i="4" s="1"/>
  <c r="T31" i="4" s="1"/>
  <c r="T32" i="4" s="1"/>
  <c r="T33" i="4" s="1"/>
  <c r="T34" i="4" s="1"/>
  <c r="T35" i="4" s="1"/>
  <c r="T36" i="4" s="1"/>
  <c r="T37" i="4" s="1"/>
  <c r="T38" i="4" s="1"/>
  <c r="T39" i="4" s="1"/>
  <c r="T40" i="4" s="1"/>
  <c r="T41" i="4" s="1"/>
  <c r="S21" i="4"/>
  <c r="S22" i="4" s="1"/>
  <c r="S23" i="4" s="1"/>
  <c r="S24" i="4" s="1"/>
  <c r="S25" i="4" s="1"/>
  <c r="S26" i="4" s="1"/>
  <c r="S27" i="4" s="1"/>
  <c r="S28" i="4" s="1"/>
  <c r="S29" i="4" s="1"/>
  <c r="S30" i="4" s="1"/>
  <c r="S31" i="4" s="1"/>
  <c r="S32" i="4" s="1"/>
  <c r="S33" i="4" s="1"/>
  <c r="S34" i="4" s="1"/>
  <c r="S35" i="4" s="1"/>
  <c r="S36" i="4" s="1"/>
  <c r="S37" i="4" s="1"/>
  <c r="S38" i="4" s="1"/>
  <c r="S39" i="4" s="1"/>
  <c r="S40" i="4" s="1"/>
  <c r="S41" i="4" s="1"/>
  <c r="P9" i="4"/>
  <c r="P8" i="4"/>
  <c r="P7" i="4"/>
  <c r="P6" i="4"/>
  <c r="F45" i="8" l="1"/>
  <c r="D6" i="9" s="1"/>
  <c r="T47" i="1"/>
  <c r="Q18" i="1"/>
  <c r="H25" i="8"/>
  <c r="H26" i="8"/>
  <c r="H17" i="8"/>
  <c r="H19" i="8"/>
  <c r="H20" i="8"/>
  <c r="H22" i="8"/>
  <c r="X125" i="4"/>
  <c r="X131" i="4"/>
  <c r="D155" i="4"/>
  <c r="Y124" i="4"/>
  <c r="Y132" i="4"/>
  <c r="Y134" i="4"/>
  <c r="K135" i="4"/>
  <c r="Y112" i="4"/>
  <c r="G101" i="4"/>
  <c r="I101" i="4" s="1"/>
  <c r="J101" i="4" s="1"/>
  <c r="V133" i="4"/>
  <c r="X122" i="4"/>
  <c r="Y128" i="4"/>
  <c r="Y129" i="4"/>
  <c r="X114" i="4"/>
  <c r="G99" i="4"/>
  <c r="I99" i="4" s="1"/>
  <c r="J99" i="4" s="1"/>
  <c r="X132" i="4"/>
  <c r="F21" i="4"/>
  <c r="X133" i="4"/>
  <c r="F23" i="4"/>
  <c r="X112" i="4"/>
  <c r="Y127" i="4"/>
  <c r="L135" i="4"/>
  <c r="Y131" i="4"/>
  <c r="J135" i="4"/>
  <c r="M135" i="4"/>
  <c r="X128" i="4"/>
  <c r="D216" i="4"/>
  <c r="X107" i="4"/>
  <c r="Y108" i="4"/>
  <c r="Y114" i="4"/>
  <c r="X117" i="4"/>
  <c r="X124" i="4"/>
  <c r="X129" i="4"/>
  <c r="AC129" i="4" s="1"/>
  <c r="AD129" i="4" s="1"/>
  <c r="X134" i="4"/>
  <c r="Y117" i="4"/>
  <c r="D22" i="4"/>
  <c r="Y109" i="4"/>
  <c r="X109" i="4"/>
  <c r="Y133" i="4"/>
  <c r="U119" i="4"/>
  <c r="U122" i="4"/>
  <c r="U115" i="4"/>
  <c r="E100" i="4"/>
  <c r="F100" i="4" s="1"/>
  <c r="E101" i="4"/>
  <c r="F101" i="4" s="1"/>
  <c r="Y120" i="4"/>
  <c r="X120" i="4"/>
  <c r="X123" i="4"/>
  <c r="Y123" i="4"/>
  <c r="E163" i="4"/>
  <c r="D21" i="4"/>
  <c r="E99" i="4"/>
  <c r="F99" i="4" s="1"/>
  <c r="U116" i="4"/>
  <c r="P21" i="4"/>
  <c r="O21" i="4" s="1"/>
  <c r="V132" i="4"/>
  <c r="Y111" i="4"/>
  <c r="Y113" i="4"/>
  <c r="X113" i="4"/>
  <c r="X119" i="4"/>
  <c r="Y119" i="4"/>
  <c r="Y130" i="4"/>
  <c r="X130" i="4"/>
  <c r="Y110" i="4"/>
  <c r="X110" i="4"/>
  <c r="X111" i="4"/>
  <c r="X126" i="4"/>
  <c r="Y126" i="4"/>
  <c r="C140" i="4"/>
  <c r="Y107" i="4"/>
  <c r="AG135" i="4"/>
  <c r="AF135" i="4"/>
  <c r="X108" i="4"/>
  <c r="Y122" i="4"/>
  <c r="Y125" i="4"/>
  <c r="X127" i="4"/>
  <c r="AC127" i="4" s="1"/>
  <c r="AD127" i="4" s="1"/>
  <c r="AE127" i="4" s="1"/>
  <c r="C164" i="4"/>
  <c r="D218" i="4"/>
  <c r="C159" i="4"/>
  <c r="C165" i="4"/>
  <c r="D215" i="4"/>
  <c r="D219" i="4"/>
  <c r="F34" i="8" l="1"/>
  <c r="H34" i="8" s="1"/>
  <c r="D9" i="9"/>
  <c r="J49" i="1"/>
  <c r="Q48" i="1"/>
  <c r="R48" i="1" s="1"/>
  <c r="R53" i="1" s="1"/>
  <c r="N48" i="1"/>
  <c r="O48" i="1" s="1"/>
  <c r="O53" i="1" s="1"/>
  <c r="N43" i="1"/>
  <c r="O43" i="1" s="1"/>
  <c r="N39" i="1"/>
  <c r="N35" i="1"/>
  <c r="O35" i="1" s="1"/>
  <c r="N31" i="1"/>
  <c r="O31" i="1" s="1"/>
  <c r="N27" i="1"/>
  <c r="O27" i="1" s="1"/>
  <c r="N23" i="1"/>
  <c r="O23" i="1" s="1"/>
  <c r="N44" i="1"/>
  <c r="O44" i="1" s="1"/>
  <c r="N32" i="1"/>
  <c r="O32" i="1" s="1"/>
  <c r="N46" i="1"/>
  <c r="O46" i="1" s="1"/>
  <c r="N42" i="1"/>
  <c r="O42" i="1" s="1"/>
  <c r="N38" i="1"/>
  <c r="O38" i="1" s="1"/>
  <c r="N34" i="1"/>
  <c r="O34" i="1" s="1"/>
  <c r="N30" i="1"/>
  <c r="O30" i="1" s="1"/>
  <c r="N26" i="1"/>
  <c r="O26" i="1" s="1"/>
  <c r="N22" i="1"/>
  <c r="O22" i="1" s="1"/>
  <c r="N40" i="1"/>
  <c r="O40" i="1" s="1"/>
  <c r="N28" i="1"/>
  <c r="O28" i="1" s="1"/>
  <c r="N45" i="1"/>
  <c r="O45" i="1" s="1"/>
  <c r="N41" i="1"/>
  <c r="O41" i="1" s="1"/>
  <c r="N37" i="1"/>
  <c r="O37" i="1" s="1"/>
  <c r="N33" i="1"/>
  <c r="O33" i="1" s="1"/>
  <c r="N29" i="1"/>
  <c r="O29" i="1" s="1"/>
  <c r="N25" i="1"/>
  <c r="N36" i="1"/>
  <c r="O36" i="1" s="1"/>
  <c r="N24" i="1"/>
  <c r="O24" i="1" s="1"/>
  <c r="Q23" i="1"/>
  <c r="R23" i="1" s="1"/>
  <c r="Q27" i="1"/>
  <c r="R27" i="1" s="1"/>
  <c r="Q31" i="1"/>
  <c r="R31" i="1" s="1"/>
  <c r="Q35" i="1"/>
  <c r="R35" i="1" s="1"/>
  <c r="Q39" i="1"/>
  <c r="R39" i="1" s="1"/>
  <c r="Q43" i="1"/>
  <c r="R43" i="1" s="1"/>
  <c r="Q22" i="1"/>
  <c r="R22" i="1" s="1"/>
  <c r="Q34" i="1"/>
  <c r="R34" i="1" s="1"/>
  <c r="Q24" i="1"/>
  <c r="R24" i="1" s="1"/>
  <c r="Q28" i="1"/>
  <c r="R28" i="1" s="1"/>
  <c r="Q32" i="1"/>
  <c r="R32" i="1" s="1"/>
  <c r="Q36" i="1"/>
  <c r="R36" i="1" s="1"/>
  <c r="Q40" i="1"/>
  <c r="R40" i="1" s="1"/>
  <c r="Q44" i="1"/>
  <c r="R44" i="1" s="1"/>
  <c r="Q21" i="1"/>
  <c r="R21" i="1" s="1"/>
  <c r="Q30" i="1"/>
  <c r="R30" i="1" s="1"/>
  <c r="Q42" i="1"/>
  <c r="R42" i="1" s="1"/>
  <c r="Q25" i="1"/>
  <c r="R25" i="1" s="1"/>
  <c r="Q29" i="1"/>
  <c r="R29" i="1" s="1"/>
  <c r="Q33" i="1"/>
  <c r="R33" i="1" s="1"/>
  <c r="Q37" i="1"/>
  <c r="R37" i="1" s="1"/>
  <c r="Q41" i="1"/>
  <c r="R41" i="1" s="1"/>
  <c r="Q45" i="1"/>
  <c r="R45" i="1" s="1"/>
  <c r="Q26" i="1"/>
  <c r="R26" i="1" s="1"/>
  <c r="Q38" i="1"/>
  <c r="R38" i="1" s="1"/>
  <c r="Q46" i="1"/>
  <c r="R46" i="1" s="1"/>
  <c r="F22" i="4"/>
  <c r="AC125" i="4"/>
  <c r="AD125" i="4" s="1"/>
  <c r="AE125" i="4" s="1"/>
  <c r="AC114" i="4"/>
  <c r="AD114" i="4" s="1"/>
  <c r="AE114" i="4" s="1"/>
  <c r="AC131" i="4"/>
  <c r="AD131" i="4" s="1"/>
  <c r="AE131" i="4" s="1"/>
  <c r="AC107" i="4"/>
  <c r="AD107" i="4" s="1"/>
  <c r="AE107" i="4" s="1"/>
  <c r="AC117" i="4"/>
  <c r="AD117" i="4" s="1"/>
  <c r="AE117" i="4" s="1"/>
  <c r="AC109" i="4"/>
  <c r="AD109" i="4" s="1"/>
  <c r="AE109" i="4" s="1"/>
  <c r="AC122" i="4"/>
  <c r="AD122" i="4" s="1"/>
  <c r="AE122" i="4" s="1"/>
  <c r="AC119" i="4"/>
  <c r="AD119" i="4" s="1"/>
  <c r="AE119" i="4" s="1"/>
  <c r="AC112" i="4"/>
  <c r="AD112" i="4" s="1"/>
  <c r="AE112" i="4" s="1"/>
  <c r="AC132" i="4"/>
  <c r="AD132" i="4" s="1"/>
  <c r="AE132" i="4" s="1"/>
  <c r="AC108" i="4"/>
  <c r="AD108" i="4" s="1"/>
  <c r="AE108" i="4" s="1"/>
  <c r="F24" i="4"/>
  <c r="AC134" i="4"/>
  <c r="AD134" i="4" s="1"/>
  <c r="AE134" i="4" s="1"/>
  <c r="AC133" i="4"/>
  <c r="AD133" i="4" s="1"/>
  <c r="AE133" i="4" s="1"/>
  <c r="AC111" i="4"/>
  <c r="AD111" i="4" s="1"/>
  <c r="AE111" i="4" s="1"/>
  <c r="AC120" i="4"/>
  <c r="AD120" i="4" s="1"/>
  <c r="AE120" i="4" s="1"/>
  <c r="AC123" i="4"/>
  <c r="AD123" i="4" s="1"/>
  <c r="AE123" i="4" s="1"/>
  <c r="AE129" i="4"/>
  <c r="V131" i="4"/>
  <c r="AC128" i="4" s="1"/>
  <c r="AD128" i="4" s="1"/>
  <c r="AE128" i="4" s="1"/>
  <c r="AC130" i="4"/>
  <c r="AD130" i="4" s="1"/>
  <c r="AE130" i="4" s="1"/>
  <c r="N140" i="4"/>
  <c r="AC126" i="4"/>
  <c r="AD126" i="4" s="1"/>
  <c r="AE126" i="4" s="1"/>
  <c r="G100" i="4"/>
  <c r="I100" i="4" s="1"/>
  <c r="J100" i="4" s="1"/>
  <c r="K100" i="4" s="1"/>
  <c r="W116" i="4" s="1"/>
  <c r="AA116" i="4" s="1"/>
  <c r="I140" i="4"/>
  <c r="I21" i="4"/>
  <c r="D23" i="4"/>
  <c r="C158" i="4"/>
  <c r="E156" i="4"/>
  <c r="E155" i="4"/>
  <c r="AC110" i="4"/>
  <c r="AD110" i="4" s="1"/>
  <c r="AE110" i="4" s="1"/>
  <c r="D220" i="4"/>
  <c r="AC113" i="4"/>
  <c r="AD113" i="4" s="1"/>
  <c r="AE113" i="4" s="1"/>
  <c r="U27" i="1" l="1"/>
  <c r="U23" i="1"/>
  <c r="U21" i="1"/>
  <c r="U34" i="1"/>
  <c r="U22" i="1"/>
  <c r="U44" i="1"/>
  <c r="U29" i="1"/>
  <c r="U26" i="1"/>
  <c r="U30" i="1"/>
  <c r="U33" i="1"/>
  <c r="U37" i="1"/>
  <c r="U31" i="1"/>
  <c r="U40" i="1"/>
  <c r="U32" i="1"/>
  <c r="U41" i="1"/>
  <c r="U38" i="1"/>
  <c r="U35" i="1"/>
  <c r="U24" i="1"/>
  <c r="U45" i="1"/>
  <c r="U42" i="1"/>
  <c r="U36" i="1"/>
  <c r="U28" i="1"/>
  <c r="U46" i="1"/>
  <c r="U43" i="1"/>
  <c r="I16" i="9"/>
  <c r="H17" i="9" s="1"/>
  <c r="I265" i="9"/>
  <c r="H266" i="9" s="1"/>
  <c r="I224" i="9"/>
  <c r="H225" i="9" s="1"/>
  <c r="I160" i="9"/>
  <c r="H161" i="9" s="1"/>
  <c r="I199" i="9"/>
  <c r="H200" i="9" s="1"/>
  <c r="I48" i="9"/>
  <c r="H49" i="9" s="1"/>
  <c r="I66" i="9"/>
  <c r="H67" i="9" s="1"/>
  <c r="I130" i="9"/>
  <c r="H131" i="9" s="1"/>
  <c r="I194" i="9"/>
  <c r="H195" i="9" s="1"/>
  <c r="I258" i="9"/>
  <c r="H259" i="9" s="1"/>
  <c r="I151" i="9"/>
  <c r="H152" i="9" s="1"/>
  <c r="I59" i="9"/>
  <c r="H60" i="9" s="1"/>
  <c r="I123" i="9"/>
  <c r="H124" i="9" s="1"/>
  <c r="I187" i="9"/>
  <c r="H188" i="9" s="1"/>
  <c r="I251" i="9"/>
  <c r="H252" i="9" s="1"/>
  <c r="I268" i="9"/>
  <c r="H269" i="9" s="1"/>
  <c r="I85" i="9"/>
  <c r="H86" i="9" s="1"/>
  <c r="I229" i="9"/>
  <c r="H230" i="9" s="1"/>
  <c r="I54" i="9"/>
  <c r="H55" i="9" s="1"/>
  <c r="I190" i="9"/>
  <c r="H191" i="9" s="1"/>
  <c r="I15" i="9"/>
  <c r="H16" i="9" s="1"/>
  <c r="I20" i="9"/>
  <c r="H21" i="9" s="1"/>
  <c r="I84" i="9"/>
  <c r="H85" i="9" s="1"/>
  <c r="I148" i="9"/>
  <c r="H149" i="9" s="1"/>
  <c r="I212" i="9"/>
  <c r="H213" i="9" s="1"/>
  <c r="I13" i="9"/>
  <c r="H14" i="9" s="1"/>
  <c r="I133" i="9"/>
  <c r="H134" i="9" s="1"/>
  <c r="I253" i="9"/>
  <c r="H254" i="9" s="1"/>
  <c r="I78" i="9"/>
  <c r="H79" i="9" s="1"/>
  <c r="I198" i="9"/>
  <c r="H199" i="9" s="1"/>
  <c r="I23" i="9"/>
  <c r="H24" i="9" s="1"/>
  <c r="I143" i="9"/>
  <c r="H144" i="9" s="1"/>
  <c r="I281" i="9"/>
  <c r="H282" i="9" s="1"/>
  <c r="I216" i="9"/>
  <c r="H217" i="9" s="1"/>
  <c r="I296" i="9"/>
  <c r="H297" i="9" s="1"/>
  <c r="I105" i="9"/>
  <c r="H106" i="9" s="1"/>
  <c r="I295" i="9"/>
  <c r="H296" i="9" s="1"/>
  <c r="I104" i="9"/>
  <c r="H105" i="9" s="1"/>
  <c r="I272" i="9"/>
  <c r="H273" i="9" s="1"/>
  <c r="I113" i="9"/>
  <c r="H114" i="9" s="1"/>
  <c r="I183" i="9"/>
  <c r="H184" i="9" s="1"/>
  <c r="I96" i="9"/>
  <c r="H97" i="9" s="1"/>
  <c r="I120" i="9"/>
  <c r="H121" i="9" s="1"/>
  <c r="I10" i="9"/>
  <c r="H11" i="9" s="1"/>
  <c r="J11" i="9" s="1"/>
  <c r="I74" i="9"/>
  <c r="H75" i="9" s="1"/>
  <c r="I138" i="9"/>
  <c r="H139" i="9" s="1"/>
  <c r="I202" i="9"/>
  <c r="H203" i="9" s="1"/>
  <c r="I266" i="9"/>
  <c r="H267" i="9" s="1"/>
  <c r="I3" i="9"/>
  <c r="H4" i="9" s="1"/>
  <c r="J4" i="9" s="1"/>
  <c r="I67" i="9"/>
  <c r="H68" i="9" s="1"/>
  <c r="I131" i="9"/>
  <c r="H132" i="9" s="1"/>
  <c r="I195" i="9"/>
  <c r="H196" i="9" s="1"/>
  <c r="I259" i="9"/>
  <c r="H260" i="9" s="1"/>
  <c r="I284" i="9"/>
  <c r="H285" i="9" s="1"/>
  <c r="I101" i="9"/>
  <c r="H102" i="9" s="1"/>
  <c r="I245" i="9"/>
  <c r="H246" i="9" s="1"/>
  <c r="I70" i="9"/>
  <c r="H71" i="9" s="1"/>
  <c r="I206" i="9"/>
  <c r="H207" i="9" s="1"/>
  <c r="I47" i="9"/>
  <c r="H48" i="9" s="1"/>
  <c r="I28" i="9"/>
  <c r="H29" i="9" s="1"/>
  <c r="I92" i="9"/>
  <c r="H93" i="9" s="1"/>
  <c r="I156" i="9"/>
  <c r="H157" i="9" s="1"/>
  <c r="I220" i="9"/>
  <c r="H221" i="9" s="1"/>
  <c r="I29" i="9"/>
  <c r="H30" i="9" s="1"/>
  <c r="I149" i="9"/>
  <c r="H150" i="9" s="1"/>
  <c r="I269" i="9"/>
  <c r="H270" i="9" s="1"/>
  <c r="I94" i="9"/>
  <c r="H95" i="9" s="1"/>
  <c r="I214" i="9"/>
  <c r="H215" i="9" s="1"/>
  <c r="I31" i="9"/>
  <c r="H32" i="9" s="1"/>
  <c r="I159" i="9"/>
  <c r="H160" i="9" s="1"/>
  <c r="I240" i="9"/>
  <c r="H241" i="9" s="1"/>
  <c r="I175" i="9"/>
  <c r="H176" i="9" s="1"/>
  <c r="I273" i="9"/>
  <c r="H274" i="9" s="1"/>
  <c r="I73" i="9"/>
  <c r="H74" i="9" s="1"/>
  <c r="I72" i="9"/>
  <c r="H73" i="9" s="1"/>
  <c r="I26" i="9"/>
  <c r="H27" i="9" s="1"/>
  <c r="I211" i="9"/>
  <c r="H212" i="9" s="1"/>
  <c r="I277" i="9"/>
  <c r="H278" i="9" s="1"/>
  <c r="I102" i="9"/>
  <c r="H103" i="9" s="1"/>
  <c r="I238" i="9"/>
  <c r="H239" i="9" s="1"/>
  <c r="I108" i="9"/>
  <c r="H109" i="9" s="1"/>
  <c r="I236" i="9"/>
  <c r="H237" i="9" s="1"/>
  <c r="I181" i="9"/>
  <c r="H182" i="9" s="1"/>
  <c r="I246" i="9"/>
  <c r="H247" i="9" s="1"/>
  <c r="I223" i="9"/>
  <c r="H224" i="9" s="1"/>
  <c r="I49" i="9"/>
  <c r="H50" i="9" s="1"/>
  <c r="I231" i="9"/>
  <c r="H232" i="9" s="1"/>
  <c r="I200" i="9"/>
  <c r="H201" i="9" s="1"/>
  <c r="I17" i="9"/>
  <c r="H18" i="9" s="1"/>
  <c r="I109" i="9"/>
  <c r="H110" i="9" s="1"/>
  <c r="I166" i="9"/>
  <c r="H167" i="9" s="1"/>
  <c r="I89" i="9"/>
  <c r="H90" i="9" s="1"/>
  <c r="I192" i="9"/>
  <c r="H193" i="9" s="1"/>
  <c r="I69" i="9"/>
  <c r="H70" i="9" s="1"/>
  <c r="I140" i="9"/>
  <c r="H141" i="9" s="1"/>
  <c r="I62" i="9"/>
  <c r="H63" i="9" s="1"/>
  <c r="I144" i="9"/>
  <c r="H145" i="9" s="1"/>
  <c r="I289" i="9"/>
  <c r="H290" i="9" s="1"/>
  <c r="I247" i="9"/>
  <c r="H248" i="9" s="1"/>
  <c r="I128" i="9"/>
  <c r="H129" i="9" s="1"/>
  <c r="I32" i="9"/>
  <c r="H33" i="9" s="1"/>
  <c r="I56" i="9"/>
  <c r="H57" i="9" s="1"/>
  <c r="I18" i="9"/>
  <c r="H19" i="9" s="1"/>
  <c r="I82" i="9"/>
  <c r="H83" i="9" s="1"/>
  <c r="I146" i="9"/>
  <c r="H147" i="9" s="1"/>
  <c r="I210" i="9"/>
  <c r="H211" i="9" s="1"/>
  <c r="I274" i="9"/>
  <c r="H275" i="9" s="1"/>
  <c r="I11" i="9"/>
  <c r="H12" i="9" s="1"/>
  <c r="J12" i="9" s="1"/>
  <c r="I75" i="9"/>
  <c r="H76" i="9" s="1"/>
  <c r="I139" i="9"/>
  <c r="H140" i="9" s="1"/>
  <c r="I203" i="9"/>
  <c r="H204" i="9" s="1"/>
  <c r="I267" i="9"/>
  <c r="H268" i="9" s="1"/>
  <c r="I300" i="9"/>
  <c r="H301" i="9" s="1"/>
  <c r="I125" i="9"/>
  <c r="H126" i="9" s="1"/>
  <c r="I261" i="9"/>
  <c r="H262" i="9" s="1"/>
  <c r="I86" i="9"/>
  <c r="H87" i="9" s="1"/>
  <c r="I222" i="9"/>
  <c r="H223" i="9" s="1"/>
  <c r="I79" i="9"/>
  <c r="H80" i="9" s="1"/>
  <c r="I36" i="9"/>
  <c r="H37" i="9" s="1"/>
  <c r="I100" i="9"/>
  <c r="H101" i="9" s="1"/>
  <c r="I164" i="9"/>
  <c r="H165" i="9" s="1"/>
  <c r="I228" i="9"/>
  <c r="H229" i="9" s="1"/>
  <c r="I45" i="9"/>
  <c r="H46" i="9" s="1"/>
  <c r="I165" i="9"/>
  <c r="H166" i="9" s="1"/>
  <c r="I285" i="9"/>
  <c r="H286" i="9" s="1"/>
  <c r="I110" i="9"/>
  <c r="H111" i="9" s="1"/>
  <c r="I230" i="9"/>
  <c r="H231" i="9" s="1"/>
  <c r="I39" i="9"/>
  <c r="H40" i="9" s="1"/>
  <c r="I264" i="9"/>
  <c r="H265" i="9" s="1"/>
  <c r="I176" i="9"/>
  <c r="H177" i="9" s="1"/>
  <c r="I81" i="9"/>
  <c r="H82" i="9" s="1"/>
  <c r="I255" i="9"/>
  <c r="H256" i="9" s="1"/>
  <c r="I41" i="9"/>
  <c r="H42" i="9" s="1"/>
  <c r="I249" i="9"/>
  <c r="H250" i="9" s="1"/>
  <c r="I40" i="9"/>
  <c r="H41" i="9" s="1"/>
  <c r="I257" i="9"/>
  <c r="H258" i="9" s="1"/>
  <c r="I5" i="9"/>
  <c r="H6" i="9" s="1"/>
  <c r="J6" i="9" s="1"/>
  <c r="I95" i="9"/>
  <c r="H96" i="9" s="1"/>
  <c r="I172" i="9"/>
  <c r="H173" i="9" s="1"/>
  <c r="I61" i="9"/>
  <c r="H62" i="9" s="1"/>
  <c r="I126" i="9"/>
  <c r="H127" i="9" s="1"/>
  <c r="I55" i="9"/>
  <c r="H56" i="9" s="1"/>
  <c r="I152" i="9"/>
  <c r="H153" i="9" s="1"/>
  <c r="I9" i="9"/>
  <c r="H10" i="9" s="1"/>
  <c r="J10" i="9" s="1"/>
  <c r="I8" i="9"/>
  <c r="H9" i="9" s="1"/>
  <c r="J9" i="9" s="1"/>
  <c r="I161" i="9"/>
  <c r="H162" i="9" s="1"/>
  <c r="I287" i="9"/>
  <c r="H288" i="9" s="1"/>
  <c r="I34" i="9"/>
  <c r="H35" i="9" s="1"/>
  <c r="I162" i="9"/>
  <c r="H163" i="9" s="1"/>
  <c r="I290" i="9"/>
  <c r="H291" i="9" s="1"/>
  <c r="I91" i="9"/>
  <c r="H92" i="9" s="1"/>
  <c r="I283" i="9"/>
  <c r="H284" i="9" s="1"/>
  <c r="I293" i="9"/>
  <c r="H294" i="9" s="1"/>
  <c r="I254" i="9"/>
  <c r="H255" i="9" s="1"/>
  <c r="I52" i="9"/>
  <c r="H53" i="9" s="1"/>
  <c r="I180" i="9"/>
  <c r="H181" i="9" s="1"/>
  <c r="I77" i="9"/>
  <c r="H78" i="9" s="1"/>
  <c r="I14" i="9"/>
  <c r="H15" i="9" s="1"/>
  <c r="I262" i="9"/>
  <c r="H263" i="9" s="1"/>
  <c r="I88" i="9"/>
  <c r="H89" i="9" s="1"/>
  <c r="I209" i="9"/>
  <c r="H210" i="9" s="1"/>
  <c r="I276" i="9"/>
  <c r="H277" i="9" s="1"/>
  <c r="I294" i="9"/>
  <c r="H295" i="9" s="1"/>
  <c r="I215" i="9"/>
  <c r="H216" i="9" s="1"/>
  <c r="I167" i="9"/>
  <c r="H168" i="9" s="1"/>
  <c r="I201" i="9"/>
  <c r="H202" i="9" s="1"/>
  <c r="I58" i="9"/>
  <c r="H59" i="9" s="1"/>
  <c r="I250" i="9"/>
  <c r="H251" i="9" s="1"/>
  <c r="I179" i="9"/>
  <c r="H180" i="9" s="1"/>
  <c r="I213" i="9"/>
  <c r="H214" i="9" s="1"/>
  <c r="I2" i="9"/>
  <c r="I292" i="9"/>
  <c r="H293" i="9" s="1"/>
  <c r="I182" i="9"/>
  <c r="H183" i="9" s="1"/>
  <c r="I239" i="9"/>
  <c r="H240" i="9" s="1"/>
  <c r="I136" i="9"/>
  <c r="H137" i="9" s="1"/>
  <c r="I207" i="9"/>
  <c r="H208" i="9" s="1"/>
  <c r="I65" i="9"/>
  <c r="H66" i="9" s="1"/>
  <c r="I64" i="9"/>
  <c r="H65" i="9" s="1"/>
  <c r="I241" i="9"/>
  <c r="H242" i="9" s="1"/>
  <c r="I90" i="9"/>
  <c r="H91" i="9" s="1"/>
  <c r="I154" i="9"/>
  <c r="H155" i="9" s="1"/>
  <c r="I218" i="9"/>
  <c r="H219" i="9" s="1"/>
  <c r="I282" i="9"/>
  <c r="H283" i="9" s="1"/>
  <c r="I19" i="9"/>
  <c r="H20" i="9" s="1"/>
  <c r="I83" i="9"/>
  <c r="H84" i="9" s="1"/>
  <c r="I147" i="9"/>
  <c r="H148" i="9" s="1"/>
  <c r="I275" i="9"/>
  <c r="H276" i="9" s="1"/>
  <c r="I141" i="9"/>
  <c r="H142" i="9" s="1"/>
  <c r="I44" i="9"/>
  <c r="H45" i="9" s="1"/>
  <c r="I301" i="9"/>
  <c r="I232" i="9"/>
  <c r="H233" i="9" s="1"/>
  <c r="I225" i="9"/>
  <c r="H226" i="9" s="1"/>
  <c r="I177" i="9"/>
  <c r="H178" i="9" s="1"/>
  <c r="I145" i="9"/>
  <c r="H146" i="9" s="1"/>
  <c r="I98" i="9"/>
  <c r="H99" i="9" s="1"/>
  <c r="I226" i="9"/>
  <c r="H227" i="9" s="1"/>
  <c r="I27" i="9"/>
  <c r="H28" i="9" s="1"/>
  <c r="I155" i="9"/>
  <c r="H156" i="9" s="1"/>
  <c r="I219" i="9"/>
  <c r="H220" i="9" s="1"/>
  <c r="I21" i="9"/>
  <c r="H22" i="9" s="1"/>
  <c r="I157" i="9"/>
  <c r="H158" i="9" s="1"/>
  <c r="I118" i="9"/>
  <c r="H119" i="9" s="1"/>
  <c r="I111" i="9"/>
  <c r="H112" i="9" s="1"/>
  <c r="I116" i="9"/>
  <c r="H117" i="9" s="1"/>
  <c r="I244" i="9"/>
  <c r="H245" i="9" s="1"/>
  <c r="I197" i="9"/>
  <c r="H198" i="9" s="1"/>
  <c r="I142" i="9"/>
  <c r="H143" i="9" s="1"/>
  <c r="I63" i="9"/>
  <c r="H64" i="9" s="1"/>
  <c r="I297" i="9"/>
  <c r="H298" i="9" s="1"/>
  <c r="I208" i="9"/>
  <c r="H209" i="9" s="1"/>
  <c r="I221" i="9"/>
  <c r="H222" i="9" s="1"/>
  <c r="I103" i="9"/>
  <c r="H104" i="9" s="1"/>
  <c r="I168" i="9"/>
  <c r="H169" i="9" s="1"/>
  <c r="I97" i="9"/>
  <c r="H98" i="9" s="1"/>
  <c r="I122" i="9"/>
  <c r="H123" i="9" s="1"/>
  <c r="I51" i="9"/>
  <c r="H52" i="9" s="1"/>
  <c r="I252" i="9"/>
  <c r="H253" i="9" s="1"/>
  <c r="I174" i="9"/>
  <c r="H175" i="9" s="1"/>
  <c r="I76" i="9"/>
  <c r="H77" i="9" s="1"/>
  <c r="I117" i="9"/>
  <c r="H118" i="9" s="1"/>
  <c r="I7" i="9"/>
  <c r="H8" i="9" s="1"/>
  <c r="J8" i="9" s="1"/>
  <c r="I25" i="9"/>
  <c r="H26" i="9" s="1"/>
  <c r="I112" i="9"/>
  <c r="H113" i="9" s="1"/>
  <c r="I271" i="9"/>
  <c r="H272" i="9" s="1"/>
  <c r="I217" i="9"/>
  <c r="H218" i="9" s="1"/>
  <c r="I121" i="9"/>
  <c r="H122" i="9" s="1"/>
  <c r="I279" i="9"/>
  <c r="H280" i="9" s="1"/>
  <c r="I42" i="9"/>
  <c r="H43" i="9" s="1"/>
  <c r="I106" i="9"/>
  <c r="H107" i="9" s="1"/>
  <c r="I170" i="9"/>
  <c r="H171" i="9" s="1"/>
  <c r="I234" i="9"/>
  <c r="H235" i="9" s="1"/>
  <c r="I298" i="9"/>
  <c r="H299" i="9" s="1"/>
  <c r="I35" i="9"/>
  <c r="H36" i="9" s="1"/>
  <c r="I99" i="9"/>
  <c r="H100" i="9" s="1"/>
  <c r="I163" i="9"/>
  <c r="H164" i="9" s="1"/>
  <c r="I227" i="9"/>
  <c r="H228" i="9" s="1"/>
  <c r="I291" i="9"/>
  <c r="H292" i="9" s="1"/>
  <c r="I37" i="9"/>
  <c r="H38" i="9" s="1"/>
  <c r="I173" i="9"/>
  <c r="H174" i="9" s="1"/>
  <c r="I6" i="9"/>
  <c r="H7" i="9" s="1"/>
  <c r="J7" i="9" s="1"/>
  <c r="I134" i="9"/>
  <c r="H135" i="9" s="1"/>
  <c r="I270" i="9"/>
  <c r="H271" i="9" s="1"/>
  <c r="I135" i="9"/>
  <c r="H136" i="9" s="1"/>
  <c r="I60" i="9"/>
  <c r="H61" i="9" s="1"/>
  <c r="I124" i="9"/>
  <c r="H125" i="9" s="1"/>
  <c r="I188" i="9"/>
  <c r="H189" i="9" s="1"/>
  <c r="I260" i="9"/>
  <c r="H261" i="9" s="1"/>
  <c r="I93" i="9"/>
  <c r="H94" i="9" s="1"/>
  <c r="I205" i="9"/>
  <c r="H206" i="9" s="1"/>
  <c r="I30" i="9"/>
  <c r="H31" i="9" s="1"/>
  <c r="I158" i="9"/>
  <c r="H159" i="9" s="1"/>
  <c r="I278" i="9"/>
  <c r="H279" i="9" s="1"/>
  <c r="I87" i="9"/>
  <c r="H88" i="9" s="1"/>
  <c r="I153" i="9"/>
  <c r="H154" i="9" s="1"/>
  <c r="I24" i="9"/>
  <c r="H25" i="9" s="1"/>
  <c r="I233" i="9"/>
  <c r="H234" i="9" s="1"/>
  <c r="I191" i="9"/>
  <c r="H192" i="9" s="1"/>
  <c r="I256" i="9"/>
  <c r="H257" i="9" s="1"/>
  <c r="I185" i="9"/>
  <c r="H186" i="9" s="1"/>
  <c r="I248" i="9"/>
  <c r="H249" i="9" s="1"/>
  <c r="I193" i="9"/>
  <c r="H194" i="9" s="1"/>
  <c r="I57" i="9"/>
  <c r="H58" i="9" s="1"/>
  <c r="I169" i="9"/>
  <c r="H170" i="9" s="1"/>
  <c r="I50" i="9"/>
  <c r="H51" i="9" s="1"/>
  <c r="I114" i="9"/>
  <c r="H115" i="9" s="1"/>
  <c r="I178" i="9"/>
  <c r="H179" i="9" s="1"/>
  <c r="I242" i="9"/>
  <c r="H243" i="9" s="1"/>
  <c r="I71" i="9"/>
  <c r="H72" i="9" s="1"/>
  <c r="I43" i="9"/>
  <c r="H44" i="9" s="1"/>
  <c r="I107" i="9"/>
  <c r="H108" i="9" s="1"/>
  <c r="I171" i="9"/>
  <c r="H172" i="9" s="1"/>
  <c r="I235" i="9"/>
  <c r="H236" i="9" s="1"/>
  <c r="I299" i="9"/>
  <c r="H300" i="9" s="1"/>
  <c r="I53" i="9"/>
  <c r="H54" i="9" s="1"/>
  <c r="I189" i="9"/>
  <c r="H190" i="9" s="1"/>
  <c r="I22" i="9"/>
  <c r="H23" i="9" s="1"/>
  <c r="I150" i="9"/>
  <c r="H151" i="9" s="1"/>
  <c r="I286" i="9"/>
  <c r="H287" i="9" s="1"/>
  <c r="I4" i="9"/>
  <c r="H5" i="9" s="1"/>
  <c r="J5" i="9" s="1"/>
  <c r="I68" i="9"/>
  <c r="H69" i="9" s="1"/>
  <c r="I132" i="9"/>
  <c r="H133" i="9" s="1"/>
  <c r="I196" i="9"/>
  <c r="H197" i="9" s="1"/>
  <c r="I46" i="9"/>
  <c r="H47" i="9" s="1"/>
  <c r="I280" i="9"/>
  <c r="H281" i="9" s="1"/>
  <c r="I263" i="9"/>
  <c r="H264" i="9" s="1"/>
  <c r="I80" i="9"/>
  <c r="H81" i="9" s="1"/>
  <c r="I186" i="9"/>
  <c r="H187" i="9" s="1"/>
  <c r="I127" i="9"/>
  <c r="H128" i="9" s="1"/>
  <c r="I115" i="9"/>
  <c r="H116" i="9" s="1"/>
  <c r="I243" i="9"/>
  <c r="H244" i="9" s="1"/>
  <c r="I38" i="9"/>
  <c r="H39" i="9" s="1"/>
  <c r="I12" i="9"/>
  <c r="H13" i="9" s="1"/>
  <c r="I204" i="9"/>
  <c r="H205" i="9" s="1"/>
  <c r="I237" i="9"/>
  <c r="H238" i="9" s="1"/>
  <c r="I119" i="9"/>
  <c r="H120" i="9" s="1"/>
  <c r="I137" i="9"/>
  <c r="H138" i="9" s="1"/>
  <c r="I288" i="9"/>
  <c r="H289" i="9" s="1"/>
  <c r="I184" i="9"/>
  <c r="H185" i="9" s="1"/>
  <c r="I33" i="9"/>
  <c r="H34" i="9" s="1"/>
  <c r="I129" i="9"/>
  <c r="H130" i="9" s="1"/>
  <c r="F25" i="4"/>
  <c r="F23" i="8"/>
  <c r="F24" i="8"/>
  <c r="H24" i="8" s="1"/>
  <c r="R54" i="1"/>
  <c r="F21" i="8" s="1"/>
  <c r="H21" i="8" s="1"/>
  <c r="J54" i="1"/>
  <c r="F18" i="8" s="1"/>
  <c r="T48" i="1"/>
  <c r="T37" i="1"/>
  <c r="T22" i="1"/>
  <c r="T41" i="1"/>
  <c r="T40" i="1"/>
  <c r="T29" i="1"/>
  <c r="T33" i="1"/>
  <c r="T23" i="1"/>
  <c r="T42" i="1"/>
  <c r="T38" i="1"/>
  <c r="T24" i="1"/>
  <c r="T44" i="1"/>
  <c r="T43" i="1"/>
  <c r="T21" i="1"/>
  <c r="T45" i="1"/>
  <c r="T32" i="1"/>
  <c r="T31" i="1"/>
  <c r="T34" i="1"/>
  <c r="T27" i="1"/>
  <c r="T30" i="1"/>
  <c r="T26" i="1"/>
  <c r="T36" i="1"/>
  <c r="T35" i="1"/>
  <c r="T46" i="1"/>
  <c r="T28" i="1"/>
  <c r="O39" i="1"/>
  <c r="U39" i="1" s="1"/>
  <c r="O25" i="1"/>
  <c r="U25" i="1" s="1"/>
  <c r="M22" i="4"/>
  <c r="M23" i="4"/>
  <c r="P22" i="4"/>
  <c r="O22" i="4" s="1"/>
  <c r="AC124" i="4"/>
  <c r="AD124" i="4" s="1"/>
  <c r="AE124" i="4" s="1"/>
  <c r="K101" i="4"/>
  <c r="W118" i="4" s="1"/>
  <c r="AA118" i="4" s="1"/>
  <c r="K99" i="4"/>
  <c r="W115" i="4" s="1"/>
  <c r="X115" i="4" s="1"/>
  <c r="Y116" i="4"/>
  <c r="AH135" i="4"/>
  <c r="X116" i="4"/>
  <c r="C157" i="4"/>
  <c r="AI135" i="4"/>
  <c r="I22" i="4"/>
  <c r="H21" i="4"/>
  <c r="D24" i="4"/>
  <c r="P23" i="4"/>
  <c r="O23" i="4" s="1"/>
  <c r="L2" i="9" l="1"/>
  <c r="H3" i="9"/>
  <c r="J3" i="9" s="1"/>
  <c r="K11" i="9" s="1"/>
  <c r="L11" i="9" s="1"/>
  <c r="J13" i="9"/>
  <c r="H23" i="8"/>
  <c r="F28" i="8"/>
  <c r="O54" i="1"/>
  <c r="T25" i="1"/>
  <c r="T39" i="1"/>
  <c r="M24" i="4"/>
  <c r="AA115" i="4"/>
  <c r="X118" i="4"/>
  <c r="Y115" i="4"/>
  <c r="Y118" i="4"/>
  <c r="AC116" i="4"/>
  <c r="AD116" i="4" s="1"/>
  <c r="AE116" i="4" s="1"/>
  <c r="I23" i="4"/>
  <c r="H22" i="4"/>
  <c r="M25" i="4"/>
  <c r="D25" i="4"/>
  <c r="F26" i="4"/>
  <c r="K13" i="9" l="1"/>
  <c r="L13" i="9" s="1"/>
  <c r="K3" i="9"/>
  <c r="L3" i="9" s="1"/>
  <c r="K4" i="9"/>
  <c r="L4" i="9" s="1"/>
  <c r="K5" i="9"/>
  <c r="L5" i="9" s="1"/>
  <c r="K6" i="9"/>
  <c r="L6" i="9" s="1"/>
  <c r="K7" i="9"/>
  <c r="L7" i="9" s="1"/>
  <c r="K8" i="9"/>
  <c r="L8" i="9" s="1"/>
  <c r="K9" i="9"/>
  <c r="L9" i="9" s="1"/>
  <c r="K10" i="9"/>
  <c r="L10" i="9" s="1"/>
  <c r="K12" i="9"/>
  <c r="L12" i="9" s="1"/>
  <c r="J14" i="9"/>
  <c r="K14" i="9" s="1"/>
  <c r="L14" i="9" s="1"/>
  <c r="F32" i="8"/>
  <c r="F47" i="8" s="1"/>
  <c r="J49" i="8" s="1"/>
  <c r="H28" i="8"/>
  <c r="P24" i="4"/>
  <c r="O24" i="4" s="1"/>
  <c r="AC118" i="4"/>
  <c r="AD118" i="4" s="1"/>
  <c r="AE118" i="4" s="1"/>
  <c r="AC115" i="4"/>
  <c r="AD115" i="4" s="1"/>
  <c r="AE115" i="4" s="1"/>
  <c r="H23" i="4"/>
  <c r="I24" i="4"/>
  <c r="M26" i="4"/>
  <c r="D26" i="4"/>
  <c r="P25" i="4"/>
  <c r="O25" i="4" s="1"/>
  <c r="F27" i="4"/>
  <c r="J15" i="9" l="1"/>
  <c r="K15" i="9" s="1"/>
  <c r="L15" i="9" s="1"/>
  <c r="F36" i="8"/>
  <c r="D27" i="4"/>
  <c r="M27" i="4"/>
  <c r="H24" i="4"/>
  <c r="I25" i="4"/>
  <c r="P26" i="4"/>
  <c r="O26" i="4" s="1"/>
  <c r="F28" i="4"/>
  <c r="J16" i="9" l="1"/>
  <c r="K16" i="9" s="1"/>
  <c r="L16" i="9" s="1"/>
  <c r="M21" i="4"/>
  <c r="N21" i="4" s="1"/>
  <c r="N22" i="4" s="1"/>
  <c r="N23" i="4" s="1"/>
  <c r="N24" i="4" s="1"/>
  <c r="N25" i="4" s="1"/>
  <c r="N26" i="4" s="1"/>
  <c r="N27" i="4" s="1"/>
  <c r="F29" i="4"/>
  <c r="P27" i="4"/>
  <c r="O27" i="4" s="1"/>
  <c r="D28" i="4"/>
  <c r="M28" i="4"/>
  <c r="I26" i="4"/>
  <c r="H25" i="4"/>
  <c r="J17" i="9" l="1"/>
  <c r="K17" i="9" s="1"/>
  <c r="L17" i="9" s="1"/>
  <c r="N28" i="4"/>
  <c r="F30" i="4"/>
  <c r="M29" i="4"/>
  <c r="D29" i="4"/>
  <c r="I27" i="4"/>
  <c r="H26" i="4"/>
  <c r="P28" i="4"/>
  <c r="O28" i="4" s="1"/>
  <c r="J18" i="9" l="1"/>
  <c r="K18" i="9" s="1"/>
  <c r="L18" i="9" s="1"/>
  <c r="N29" i="4"/>
  <c r="P29" i="4"/>
  <c r="O29" i="4" s="1"/>
  <c r="M30" i="4"/>
  <c r="D30" i="4"/>
  <c r="F31" i="4"/>
  <c r="H27" i="4"/>
  <c r="I28" i="4"/>
  <c r="J19" i="9" l="1"/>
  <c r="K19" i="9" s="1"/>
  <c r="L19" i="9" s="1"/>
  <c r="N30" i="4"/>
  <c r="D31" i="4"/>
  <c r="M31" i="4"/>
  <c r="H28" i="4"/>
  <c r="I29" i="4"/>
  <c r="F32" i="4"/>
  <c r="P30" i="4"/>
  <c r="O30" i="4" s="1"/>
  <c r="J20" i="9" l="1"/>
  <c r="K20" i="9" s="1"/>
  <c r="L20" i="9" s="1"/>
  <c r="N31" i="4"/>
  <c r="F33" i="4"/>
  <c r="D32" i="4"/>
  <c r="M32" i="4"/>
  <c r="P31" i="4"/>
  <c r="O31" i="4" s="1"/>
  <c r="I30" i="4"/>
  <c r="H29" i="4"/>
  <c r="J21" i="9" l="1"/>
  <c r="K21" i="9" s="1"/>
  <c r="L21" i="9" s="1"/>
  <c r="N32" i="4"/>
  <c r="F34" i="4"/>
  <c r="P32" i="4"/>
  <c r="O32" i="4" s="1"/>
  <c r="I31" i="4"/>
  <c r="R57" i="8" s="1"/>
  <c r="H30" i="4"/>
  <c r="D33" i="4"/>
  <c r="M33" i="4"/>
  <c r="J22" i="9" l="1"/>
  <c r="K22" i="9" s="1"/>
  <c r="L22" i="9" s="1"/>
  <c r="N33" i="4"/>
  <c r="D34" i="4"/>
  <c r="M34" i="4"/>
  <c r="P33" i="4"/>
  <c r="O33" i="4" s="1"/>
  <c r="F35" i="4"/>
  <c r="H31" i="4"/>
  <c r="I32" i="4"/>
  <c r="J23" i="9" l="1"/>
  <c r="K23" i="9" s="1"/>
  <c r="L23" i="9" s="1"/>
  <c r="N34" i="4"/>
  <c r="I33" i="4"/>
  <c r="H32" i="4"/>
  <c r="P34" i="4"/>
  <c r="O34" i="4" s="1"/>
  <c r="M35" i="4"/>
  <c r="D35" i="4"/>
  <c r="F36" i="4"/>
  <c r="J24" i="9" l="1"/>
  <c r="K24" i="9" s="1"/>
  <c r="L24" i="9" s="1"/>
  <c r="N35" i="4"/>
  <c r="D36" i="4"/>
  <c r="M36" i="4"/>
  <c r="H33" i="4"/>
  <c r="I34" i="4"/>
  <c r="P35" i="4"/>
  <c r="O35" i="4" s="1"/>
  <c r="F37" i="4"/>
  <c r="J25" i="9" l="1"/>
  <c r="K25" i="9" s="1"/>
  <c r="L25" i="9" s="1"/>
  <c r="N36" i="4"/>
  <c r="H34" i="4"/>
  <c r="I35" i="4"/>
  <c r="M37" i="4"/>
  <c r="D37" i="4"/>
  <c r="P36" i="4"/>
  <c r="O36" i="4" s="1"/>
  <c r="F38" i="4"/>
  <c r="J26" i="9" l="1"/>
  <c r="K26" i="9" s="1"/>
  <c r="L26" i="9" s="1"/>
  <c r="N37" i="4"/>
  <c r="P37" i="4"/>
  <c r="O37" i="4" s="1"/>
  <c r="F39" i="4"/>
  <c r="I36" i="4"/>
  <c r="H35" i="4"/>
  <c r="D38" i="4"/>
  <c r="M38" i="4"/>
  <c r="J27" i="9" l="1"/>
  <c r="K27" i="9" s="1"/>
  <c r="L27" i="9" s="1"/>
  <c r="N38" i="4"/>
  <c r="I37" i="4"/>
  <c r="H36" i="4"/>
  <c r="P38" i="4"/>
  <c r="O38" i="4" s="1"/>
  <c r="M39" i="4"/>
  <c r="D39" i="4"/>
  <c r="F40" i="4"/>
  <c r="J28" i="9" l="1"/>
  <c r="K28" i="9" s="1"/>
  <c r="L28" i="9" s="1"/>
  <c r="N39" i="4"/>
  <c r="P39" i="4"/>
  <c r="O39" i="4" s="1"/>
  <c r="M40" i="4"/>
  <c r="D40" i="4"/>
  <c r="H37" i="4"/>
  <c r="I38" i="4"/>
  <c r="F41" i="4"/>
  <c r="J29" i="9" l="1"/>
  <c r="K29" i="9" s="1"/>
  <c r="L29" i="9" s="1"/>
  <c r="N40" i="4"/>
  <c r="P41" i="4"/>
  <c r="O41" i="4" s="1"/>
  <c r="P40" i="4"/>
  <c r="O40" i="4" s="1"/>
  <c r="H38" i="4"/>
  <c r="I39" i="4"/>
  <c r="M41" i="4"/>
  <c r="D41" i="4"/>
  <c r="J30" i="9" l="1"/>
  <c r="K30" i="9" s="1"/>
  <c r="L30" i="9" s="1"/>
  <c r="N41" i="4"/>
  <c r="H39" i="4"/>
  <c r="I40" i="4"/>
  <c r="J31" i="9" l="1"/>
  <c r="K31" i="9" s="1"/>
  <c r="L31" i="9" s="1"/>
  <c r="I41" i="4"/>
  <c r="H40" i="4"/>
  <c r="J32" i="9" l="1"/>
  <c r="K32" i="9" s="1"/>
  <c r="L32" i="9" s="1"/>
  <c r="H41" i="4"/>
  <c r="R58" i="8"/>
  <c r="J33" i="9" l="1"/>
  <c r="K33" i="9" s="1"/>
  <c r="L33" i="9" s="1"/>
  <c r="J34" i="9" l="1"/>
  <c r="K34" i="9" s="1"/>
  <c r="L34" i="9" s="1"/>
  <c r="T54" i="1"/>
  <c r="J35" i="9" l="1"/>
  <c r="K35" i="9" s="1"/>
  <c r="L35" i="9" s="1"/>
  <c r="J36" i="9" l="1"/>
  <c r="K36" i="9" s="1"/>
  <c r="L36" i="9" s="1"/>
  <c r="J37" i="9" l="1"/>
  <c r="K37" i="9" s="1"/>
  <c r="L37" i="9" s="1"/>
  <c r="J38" i="9" l="1"/>
  <c r="K38" i="9" s="1"/>
  <c r="L38" i="9" s="1"/>
  <c r="J39" i="9" l="1"/>
  <c r="K39" i="9" s="1"/>
  <c r="L39" i="9" s="1"/>
  <c r="J40" i="9" l="1"/>
  <c r="K40" i="9" s="1"/>
  <c r="L40" i="9" s="1"/>
  <c r="J41" i="9" l="1"/>
  <c r="K41" i="9" s="1"/>
  <c r="L41" i="9" s="1"/>
  <c r="J42" i="9" l="1"/>
  <c r="K42" i="9" s="1"/>
  <c r="L42" i="9" s="1"/>
  <c r="J43" i="9" l="1"/>
  <c r="K43" i="9" s="1"/>
  <c r="L43" i="9" s="1"/>
  <c r="J44" i="9" l="1"/>
  <c r="K44" i="9" s="1"/>
  <c r="L44" i="9" s="1"/>
  <c r="J45" i="9" l="1"/>
  <c r="K45" i="9" s="1"/>
  <c r="L45" i="9" s="1"/>
  <c r="J46" i="9" l="1"/>
  <c r="K46" i="9" s="1"/>
  <c r="L46" i="9" s="1"/>
  <c r="J47" i="9" l="1"/>
  <c r="K47" i="9" s="1"/>
  <c r="L47" i="9" s="1"/>
  <c r="J48" i="9" l="1"/>
  <c r="K48" i="9" s="1"/>
  <c r="L48" i="9" s="1"/>
  <c r="J49" i="9" l="1"/>
  <c r="K49" i="9" s="1"/>
  <c r="L49" i="9" s="1"/>
  <c r="J50" i="9" l="1"/>
  <c r="K50" i="9" s="1"/>
  <c r="L50" i="9" s="1"/>
  <c r="J51" i="9" l="1"/>
  <c r="K51" i="9" s="1"/>
  <c r="L51" i="9" s="1"/>
  <c r="J52" i="9" l="1"/>
  <c r="K52" i="9" s="1"/>
  <c r="L52" i="9" s="1"/>
  <c r="J53" i="9" l="1"/>
  <c r="K53" i="9" s="1"/>
  <c r="L53" i="9" s="1"/>
  <c r="J54" i="9" l="1"/>
  <c r="K54" i="9" s="1"/>
  <c r="L54" i="9" s="1"/>
  <c r="J55" i="9" l="1"/>
  <c r="K55" i="9" s="1"/>
  <c r="L55" i="9" s="1"/>
  <c r="J56" i="9" l="1"/>
  <c r="K56" i="9" s="1"/>
  <c r="L56" i="9" s="1"/>
  <c r="J57" i="9" l="1"/>
  <c r="K57" i="9" s="1"/>
  <c r="L57" i="9" s="1"/>
  <c r="J58" i="9" l="1"/>
  <c r="K58" i="9" s="1"/>
  <c r="L58" i="9" s="1"/>
  <c r="J59" i="9" l="1"/>
  <c r="K59" i="9" s="1"/>
  <c r="L59" i="9" s="1"/>
  <c r="J60" i="9" l="1"/>
  <c r="K60" i="9" s="1"/>
  <c r="L60" i="9" s="1"/>
  <c r="J61" i="9" l="1"/>
  <c r="K61" i="9" s="1"/>
  <c r="L61" i="9" s="1"/>
  <c r="J62" i="9" l="1"/>
  <c r="K62" i="9" s="1"/>
  <c r="L62" i="9" s="1"/>
  <c r="J63" i="9" l="1"/>
  <c r="K63" i="9" s="1"/>
  <c r="L63" i="9" s="1"/>
  <c r="J64" i="9" l="1"/>
  <c r="K64" i="9" s="1"/>
  <c r="L64" i="9" s="1"/>
  <c r="J65" i="9" l="1"/>
  <c r="K65" i="9" s="1"/>
  <c r="L65" i="9" s="1"/>
  <c r="J66" i="9" l="1"/>
  <c r="K66" i="9" s="1"/>
  <c r="L66" i="9" s="1"/>
  <c r="J67" i="9" l="1"/>
  <c r="K67" i="9" s="1"/>
  <c r="L67" i="9" s="1"/>
  <c r="J68" i="9" l="1"/>
  <c r="K68" i="9" s="1"/>
  <c r="L68" i="9" s="1"/>
  <c r="J69" i="9" l="1"/>
  <c r="K69" i="9" s="1"/>
  <c r="L69" i="9" s="1"/>
  <c r="J70" i="9" l="1"/>
  <c r="K70" i="9" s="1"/>
  <c r="L70" i="9" s="1"/>
  <c r="J71" i="9" l="1"/>
  <c r="K71" i="9" s="1"/>
  <c r="L71" i="9" s="1"/>
  <c r="J72" i="9" l="1"/>
  <c r="K72" i="9" s="1"/>
  <c r="L72" i="9" s="1"/>
  <c r="J73" i="9" l="1"/>
  <c r="K73" i="9" s="1"/>
  <c r="L73" i="9" s="1"/>
  <c r="J74" i="9" l="1"/>
  <c r="K74" i="9" s="1"/>
  <c r="L74" i="9" s="1"/>
  <c r="J75" i="9" l="1"/>
  <c r="K75" i="9" s="1"/>
  <c r="L75" i="9" s="1"/>
  <c r="J76" i="9" l="1"/>
  <c r="K76" i="9" s="1"/>
  <c r="L76" i="9" s="1"/>
  <c r="J77" i="9" l="1"/>
  <c r="K77" i="9" s="1"/>
  <c r="L77" i="9" s="1"/>
  <c r="J78" i="9" l="1"/>
  <c r="K78" i="9" s="1"/>
  <c r="L78" i="9" s="1"/>
  <c r="J79" i="9" l="1"/>
  <c r="K79" i="9" s="1"/>
  <c r="L79" i="9" s="1"/>
  <c r="J80" i="9" l="1"/>
  <c r="K80" i="9" s="1"/>
  <c r="L80" i="9" s="1"/>
  <c r="J81" i="9" l="1"/>
  <c r="K81" i="9" s="1"/>
  <c r="L81" i="9" s="1"/>
  <c r="J82" i="9" l="1"/>
  <c r="K82" i="9" s="1"/>
  <c r="L82" i="9" s="1"/>
  <c r="J83" i="9" l="1"/>
  <c r="K83" i="9" s="1"/>
  <c r="L83" i="9" s="1"/>
  <c r="J84" i="9" l="1"/>
  <c r="K84" i="9" s="1"/>
  <c r="L84" i="9" s="1"/>
  <c r="J85" i="9" l="1"/>
  <c r="K85" i="9" s="1"/>
  <c r="L85" i="9" s="1"/>
  <c r="J86" i="9" l="1"/>
  <c r="K86" i="9" s="1"/>
  <c r="L86" i="9" s="1"/>
  <c r="J87" i="9" l="1"/>
  <c r="K87" i="9" s="1"/>
  <c r="L87" i="9" s="1"/>
  <c r="J88" i="9" l="1"/>
  <c r="K88" i="9" s="1"/>
  <c r="L88" i="9" s="1"/>
  <c r="J89" i="9" l="1"/>
  <c r="K89" i="9" s="1"/>
  <c r="L89" i="9" s="1"/>
  <c r="J90" i="9" l="1"/>
  <c r="K90" i="9" s="1"/>
  <c r="L90" i="9" s="1"/>
  <c r="J91" i="9" l="1"/>
  <c r="K91" i="9" s="1"/>
  <c r="L91" i="9" s="1"/>
  <c r="J92" i="9" l="1"/>
  <c r="K92" i="9" s="1"/>
  <c r="L92" i="9" s="1"/>
  <c r="J93" i="9" l="1"/>
  <c r="K93" i="9" s="1"/>
  <c r="L93" i="9" s="1"/>
  <c r="J94" i="9" l="1"/>
  <c r="K94" i="9" s="1"/>
  <c r="L94" i="9" s="1"/>
  <c r="J95" i="9" l="1"/>
  <c r="K95" i="9" s="1"/>
  <c r="L95" i="9" s="1"/>
  <c r="J96" i="9" l="1"/>
  <c r="K96" i="9" s="1"/>
  <c r="L96" i="9" s="1"/>
  <c r="J97" i="9" l="1"/>
  <c r="K97" i="9" s="1"/>
  <c r="L97" i="9" s="1"/>
  <c r="J98" i="9" l="1"/>
  <c r="K98" i="9" s="1"/>
  <c r="L98" i="9" s="1"/>
  <c r="J99" i="9" l="1"/>
  <c r="K99" i="9" s="1"/>
  <c r="L99" i="9" s="1"/>
  <c r="J100" i="9" l="1"/>
  <c r="K100" i="9" s="1"/>
  <c r="L100" i="9" s="1"/>
  <c r="J101" i="9" l="1"/>
  <c r="K101" i="9" s="1"/>
  <c r="L101" i="9" s="1"/>
  <c r="J102" i="9" l="1"/>
  <c r="K102" i="9" s="1"/>
  <c r="L102" i="9" s="1"/>
  <c r="J103" i="9" l="1"/>
  <c r="K103" i="9" s="1"/>
  <c r="L103" i="9" s="1"/>
  <c r="J104" i="9" l="1"/>
  <c r="K104" i="9" s="1"/>
  <c r="L104" i="9" s="1"/>
  <c r="J105" i="9" l="1"/>
  <c r="K105" i="9" s="1"/>
  <c r="L105" i="9" s="1"/>
  <c r="J106" i="9" l="1"/>
  <c r="K106" i="9" s="1"/>
  <c r="L106" i="9" s="1"/>
  <c r="J107" i="9" l="1"/>
  <c r="K107" i="9" s="1"/>
  <c r="L107" i="9" s="1"/>
  <c r="J108" i="9" l="1"/>
  <c r="K108" i="9" s="1"/>
  <c r="L108" i="9" s="1"/>
  <c r="J109" i="9" l="1"/>
  <c r="K109" i="9" s="1"/>
  <c r="L109" i="9" s="1"/>
  <c r="J110" i="9" l="1"/>
  <c r="K110" i="9" s="1"/>
  <c r="L110" i="9" s="1"/>
  <c r="J111" i="9" l="1"/>
  <c r="K111" i="9" s="1"/>
  <c r="L111" i="9" s="1"/>
  <c r="J112" i="9" l="1"/>
  <c r="K112" i="9" s="1"/>
  <c r="L112" i="9" s="1"/>
  <c r="J113" i="9" l="1"/>
  <c r="K113" i="9" s="1"/>
  <c r="L113" i="9" s="1"/>
  <c r="J114" i="9" l="1"/>
  <c r="K114" i="9" s="1"/>
  <c r="L114" i="9" s="1"/>
  <c r="J115" i="9" l="1"/>
  <c r="K115" i="9" s="1"/>
  <c r="L115" i="9" s="1"/>
  <c r="J116" i="9" l="1"/>
  <c r="K116" i="9" s="1"/>
  <c r="L116" i="9" s="1"/>
  <c r="J117" i="9" l="1"/>
  <c r="K117" i="9" s="1"/>
  <c r="L117" i="9" s="1"/>
  <c r="J118" i="9" l="1"/>
  <c r="K118" i="9" s="1"/>
  <c r="L118" i="9" s="1"/>
  <c r="J119" i="9" l="1"/>
  <c r="K119" i="9" s="1"/>
  <c r="L119" i="9" s="1"/>
  <c r="J120" i="9" l="1"/>
  <c r="K120" i="9" s="1"/>
  <c r="L120" i="9" s="1"/>
  <c r="J121" i="9" l="1"/>
  <c r="K121" i="9" s="1"/>
  <c r="L121" i="9" s="1"/>
  <c r="J122" i="9" l="1"/>
  <c r="K122" i="9" s="1"/>
  <c r="L122" i="9" s="1"/>
  <c r="J123" i="9" l="1"/>
  <c r="K123" i="9" s="1"/>
  <c r="L123" i="9" s="1"/>
  <c r="J124" i="9" l="1"/>
  <c r="K124" i="9" s="1"/>
  <c r="L124" i="9" s="1"/>
  <c r="J125" i="9" l="1"/>
  <c r="K125" i="9" s="1"/>
  <c r="L125" i="9" s="1"/>
  <c r="J126" i="9" l="1"/>
  <c r="K126" i="9" s="1"/>
  <c r="L126" i="9" s="1"/>
  <c r="J127" i="9" l="1"/>
  <c r="K127" i="9" s="1"/>
  <c r="L127" i="9" s="1"/>
  <c r="J128" i="9" l="1"/>
  <c r="K128" i="9" s="1"/>
  <c r="L128" i="9" s="1"/>
  <c r="J129" i="9" l="1"/>
  <c r="K129" i="9" s="1"/>
  <c r="L129" i="9" s="1"/>
  <c r="J130" i="9" l="1"/>
  <c r="K130" i="9" s="1"/>
  <c r="L130" i="9" s="1"/>
  <c r="J131" i="9" l="1"/>
  <c r="K131" i="9" s="1"/>
  <c r="L131" i="9" s="1"/>
  <c r="J132" i="9" l="1"/>
  <c r="K132" i="9" s="1"/>
  <c r="L132" i="9" s="1"/>
  <c r="J133" i="9" l="1"/>
  <c r="K133" i="9" s="1"/>
  <c r="L133" i="9" s="1"/>
  <c r="J134" i="9" l="1"/>
  <c r="K134" i="9" s="1"/>
  <c r="L134" i="9" s="1"/>
  <c r="J135" i="9" l="1"/>
  <c r="K135" i="9" s="1"/>
  <c r="L135" i="9" s="1"/>
  <c r="J136" i="9" l="1"/>
  <c r="K136" i="9" s="1"/>
  <c r="L136" i="9" s="1"/>
  <c r="J137" i="9" l="1"/>
  <c r="K137" i="9" s="1"/>
  <c r="L137" i="9" s="1"/>
  <c r="J138" i="9" l="1"/>
  <c r="K138" i="9" s="1"/>
  <c r="L138" i="9" s="1"/>
  <c r="J139" i="9" l="1"/>
  <c r="K139" i="9" s="1"/>
  <c r="L139" i="9" s="1"/>
  <c r="J140" i="9" l="1"/>
  <c r="K140" i="9" s="1"/>
  <c r="L140" i="9" s="1"/>
  <c r="J141" i="9" l="1"/>
  <c r="K141" i="9" s="1"/>
  <c r="L141" i="9" s="1"/>
  <c r="J142" i="9" l="1"/>
  <c r="K142" i="9" s="1"/>
  <c r="L142" i="9" s="1"/>
  <c r="J143" i="9" l="1"/>
  <c r="K143" i="9" s="1"/>
  <c r="L143" i="9" s="1"/>
  <c r="J144" i="9" l="1"/>
  <c r="K144" i="9" s="1"/>
  <c r="L144" i="9" s="1"/>
  <c r="J145" i="9" l="1"/>
  <c r="K145" i="9" s="1"/>
  <c r="L145" i="9" s="1"/>
  <c r="J146" i="9" l="1"/>
  <c r="K146" i="9" s="1"/>
  <c r="L146" i="9" s="1"/>
  <c r="J147" i="9" l="1"/>
  <c r="K147" i="9" s="1"/>
  <c r="L147" i="9" s="1"/>
  <c r="J148" i="9" l="1"/>
  <c r="K148" i="9" s="1"/>
  <c r="L148" i="9" s="1"/>
  <c r="J149" i="9" l="1"/>
  <c r="K149" i="9" s="1"/>
  <c r="L149" i="9" s="1"/>
  <c r="J150" i="9" l="1"/>
  <c r="K150" i="9" s="1"/>
  <c r="L150" i="9" s="1"/>
  <c r="J151" i="9" l="1"/>
  <c r="K151" i="9" s="1"/>
  <c r="L151" i="9" s="1"/>
  <c r="J152" i="9" l="1"/>
  <c r="K152" i="9" s="1"/>
  <c r="L152" i="9" s="1"/>
  <c r="J153" i="9" l="1"/>
  <c r="K153" i="9" s="1"/>
  <c r="L153" i="9" s="1"/>
  <c r="J154" i="9" l="1"/>
  <c r="K154" i="9" s="1"/>
  <c r="L154" i="9" s="1"/>
  <c r="J155" i="9" l="1"/>
  <c r="K155" i="9" s="1"/>
  <c r="L155" i="9" s="1"/>
  <c r="J156" i="9" l="1"/>
  <c r="K156" i="9" s="1"/>
  <c r="L156" i="9" s="1"/>
  <c r="J157" i="9" l="1"/>
  <c r="K157" i="9" s="1"/>
  <c r="L157" i="9" s="1"/>
  <c r="J158" i="9" l="1"/>
  <c r="K158" i="9" s="1"/>
  <c r="L158" i="9" s="1"/>
  <c r="J159" i="9" l="1"/>
  <c r="K159" i="9" s="1"/>
  <c r="L159" i="9" s="1"/>
  <c r="J160" i="9" l="1"/>
  <c r="K160" i="9" s="1"/>
  <c r="L160" i="9" s="1"/>
  <c r="J161" i="9" l="1"/>
  <c r="K161" i="9" s="1"/>
  <c r="L161" i="9" s="1"/>
  <c r="J162" i="9" l="1"/>
  <c r="K162" i="9" s="1"/>
  <c r="L162" i="9" s="1"/>
  <c r="J163" i="9" l="1"/>
  <c r="K163" i="9" s="1"/>
  <c r="L163" i="9" s="1"/>
  <c r="J164" i="9" l="1"/>
  <c r="K164" i="9" s="1"/>
  <c r="L164" i="9" s="1"/>
  <c r="J165" i="9" l="1"/>
  <c r="K165" i="9" s="1"/>
  <c r="L165" i="9" s="1"/>
  <c r="J166" i="9" l="1"/>
  <c r="K166" i="9" s="1"/>
  <c r="L166" i="9" s="1"/>
  <c r="J167" i="9" l="1"/>
  <c r="K167" i="9" s="1"/>
  <c r="L167" i="9" s="1"/>
  <c r="J168" i="9" l="1"/>
  <c r="K168" i="9" s="1"/>
  <c r="L168" i="9" s="1"/>
  <c r="J169" i="9" l="1"/>
  <c r="K169" i="9" s="1"/>
  <c r="L169" i="9" s="1"/>
  <c r="J170" i="9" l="1"/>
  <c r="K170" i="9" s="1"/>
  <c r="L170" i="9" s="1"/>
  <c r="J171" i="9" l="1"/>
  <c r="K171" i="9" s="1"/>
  <c r="L171" i="9" s="1"/>
  <c r="J172" i="9" l="1"/>
  <c r="K172" i="9" s="1"/>
  <c r="L172" i="9" s="1"/>
  <c r="J173" i="9" l="1"/>
  <c r="K173" i="9" s="1"/>
  <c r="L173" i="9" s="1"/>
  <c r="J174" i="9" l="1"/>
  <c r="K174" i="9" s="1"/>
  <c r="L174" i="9" s="1"/>
  <c r="J175" i="9" l="1"/>
  <c r="K175" i="9" s="1"/>
  <c r="L175" i="9" s="1"/>
  <c r="J176" i="9" l="1"/>
  <c r="K176" i="9" s="1"/>
  <c r="L176" i="9" s="1"/>
  <c r="J177" i="9" l="1"/>
  <c r="K177" i="9" s="1"/>
  <c r="L177" i="9" s="1"/>
  <c r="J178" i="9" l="1"/>
  <c r="K178" i="9" s="1"/>
  <c r="L178" i="9" s="1"/>
  <c r="J179" i="9" l="1"/>
  <c r="K179" i="9" s="1"/>
  <c r="L179" i="9" s="1"/>
  <c r="J180" i="9" l="1"/>
  <c r="K180" i="9" s="1"/>
  <c r="L180" i="9" s="1"/>
  <c r="J181" i="9" l="1"/>
  <c r="K181" i="9" s="1"/>
  <c r="L181" i="9" l="1"/>
  <c r="D12" i="9"/>
  <c r="J182" i="9"/>
  <c r="K182" i="9" s="1"/>
  <c r="L182" i="9" s="1"/>
  <c r="J183" i="9" l="1"/>
  <c r="K183" i="9" s="1"/>
  <c r="L183" i="9" s="1"/>
  <c r="J184" i="9" l="1"/>
  <c r="K184" i="9" s="1"/>
  <c r="L184" i="9" s="1"/>
  <c r="J185" i="9" l="1"/>
  <c r="K185" i="9" s="1"/>
  <c r="L185" i="9" s="1"/>
  <c r="J186" i="9" l="1"/>
  <c r="K186" i="9" s="1"/>
  <c r="L186" i="9" s="1"/>
  <c r="J187" i="9" l="1"/>
  <c r="K187" i="9" s="1"/>
  <c r="L187" i="9" s="1"/>
  <c r="J188" i="9" l="1"/>
  <c r="K188" i="9" s="1"/>
  <c r="L188" i="9" s="1"/>
  <c r="J189" i="9" l="1"/>
  <c r="K189" i="9" s="1"/>
  <c r="L189" i="9" s="1"/>
  <c r="J190" i="9" l="1"/>
  <c r="K190" i="9" s="1"/>
  <c r="L190" i="9" s="1"/>
  <c r="J191" i="9" l="1"/>
  <c r="K191" i="9" s="1"/>
  <c r="L191" i="9" s="1"/>
  <c r="J192" i="9" l="1"/>
  <c r="K192" i="9" s="1"/>
  <c r="L192" i="9" s="1"/>
  <c r="J193" i="9" l="1"/>
  <c r="K193" i="9" s="1"/>
  <c r="L193" i="9" s="1"/>
  <c r="J194" i="9" l="1"/>
  <c r="K194" i="9" s="1"/>
  <c r="L194" i="9" s="1"/>
  <c r="J195" i="9" l="1"/>
  <c r="K195" i="9" s="1"/>
  <c r="L195" i="9" s="1"/>
  <c r="J196" i="9" l="1"/>
  <c r="K196" i="9" s="1"/>
  <c r="L196" i="9" s="1"/>
  <c r="J197" i="9" l="1"/>
  <c r="K197" i="9" s="1"/>
  <c r="L197" i="9" s="1"/>
  <c r="J198" i="9" l="1"/>
  <c r="K198" i="9" s="1"/>
  <c r="L198" i="9" s="1"/>
  <c r="J199" i="9" l="1"/>
  <c r="K199" i="9" s="1"/>
  <c r="L199" i="9" s="1"/>
  <c r="J200" i="9" l="1"/>
  <c r="K200" i="9" s="1"/>
  <c r="L200" i="9" s="1"/>
  <c r="J201" i="9" l="1"/>
  <c r="K201" i="9" s="1"/>
  <c r="L201" i="9" s="1"/>
  <c r="J202" i="9" l="1"/>
  <c r="K202" i="9" s="1"/>
  <c r="L202" i="9" s="1"/>
  <c r="J203" i="9" l="1"/>
  <c r="K203" i="9" s="1"/>
  <c r="L203" i="9" s="1"/>
  <c r="J204" i="9" l="1"/>
  <c r="K204" i="9" s="1"/>
  <c r="L204" i="9" s="1"/>
  <c r="J205" i="9" l="1"/>
  <c r="K205" i="9" s="1"/>
  <c r="L205" i="9" s="1"/>
  <c r="J206" i="9" l="1"/>
  <c r="K206" i="9" s="1"/>
  <c r="L206" i="9" s="1"/>
  <c r="J207" i="9" l="1"/>
  <c r="K207" i="9" s="1"/>
  <c r="L207" i="9" s="1"/>
  <c r="J208" i="9" l="1"/>
  <c r="K208" i="9" s="1"/>
  <c r="L208" i="9" s="1"/>
  <c r="J209" i="9" l="1"/>
  <c r="K209" i="9" s="1"/>
  <c r="L209" i="9" s="1"/>
  <c r="J210" i="9" l="1"/>
  <c r="K210" i="9" s="1"/>
  <c r="L210" i="9" s="1"/>
  <c r="J211" i="9" l="1"/>
  <c r="K211" i="9" s="1"/>
  <c r="L211" i="9" s="1"/>
  <c r="J212" i="9" l="1"/>
  <c r="K212" i="9" s="1"/>
  <c r="L212" i="9" s="1"/>
  <c r="J213" i="9" l="1"/>
  <c r="K213" i="9" s="1"/>
  <c r="L213" i="9" s="1"/>
  <c r="J214" i="9" l="1"/>
  <c r="K214" i="9" s="1"/>
  <c r="L214" i="9" s="1"/>
  <c r="J215" i="9" l="1"/>
  <c r="K215" i="9" s="1"/>
  <c r="L215" i="9" s="1"/>
  <c r="J216" i="9" l="1"/>
  <c r="K216" i="9" s="1"/>
  <c r="L216" i="9" s="1"/>
  <c r="J217" i="9" l="1"/>
  <c r="K217" i="9" s="1"/>
  <c r="L217" i="9" s="1"/>
  <c r="J218" i="9" l="1"/>
  <c r="K218" i="9" s="1"/>
  <c r="L218" i="9" s="1"/>
  <c r="J219" i="9" l="1"/>
  <c r="K219" i="9" s="1"/>
  <c r="L219" i="9" s="1"/>
  <c r="J220" i="9" l="1"/>
  <c r="K220" i="9" s="1"/>
  <c r="L220" i="9" s="1"/>
  <c r="J221" i="9" l="1"/>
  <c r="K221" i="9" s="1"/>
  <c r="L221" i="9" s="1"/>
  <c r="J222" i="9" l="1"/>
  <c r="K222" i="9" s="1"/>
  <c r="L222" i="9" s="1"/>
  <c r="J223" i="9" l="1"/>
  <c r="K223" i="9" s="1"/>
  <c r="L223" i="9" s="1"/>
  <c r="J224" i="9" l="1"/>
  <c r="K224" i="9" s="1"/>
  <c r="L224" i="9" s="1"/>
  <c r="J225" i="9" l="1"/>
  <c r="K225" i="9" s="1"/>
  <c r="L225" i="9" s="1"/>
  <c r="J226" i="9" l="1"/>
  <c r="K226" i="9" s="1"/>
  <c r="L226" i="9" s="1"/>
  <c r="J227" i="9" l="1"/>
  <c r="K227" i="9" s="1"/>
  <c r="L227" i="9" s="1"/>
  <c r="J228" i="9" l="1"/>
  <c r="K228" i="9" s="1"/>
  <c r="L228" i="9" s="1"/>
  <c r="J229" i="9" l="1"/>
  <c r="K229" i="9" s="1"/>
  <c r="L229" i="9" s="1"/>
  <c r="J230" i="9" l="1"/>
  <c r="K230" i="9" s="1"/>
  <c r="L230" i="9" s="1"/>
  <c r="J231" i="9" l="1"/>
  <c r="K231" i="9" s="1"/>
  <c r="L231" i="9" s="1"/>
  <c r="J232" i="9" l="1"/>
  <c r="K232" i="9" s="1"/>
  <c r="L232" i="9" s="1"/>
  <c r="J233" i="9" l="1"/>
  <c r="K233" i="9" s="1"/>
  <c r="L233" i="9" s="1"/>
  <c r="J234" i="9" l="1"/>
  <c r="K234" i="9" s="1"/>
  <c r="L234" i="9" s="1"/>
  <c r="J235" i="9" l="1"/>
  <c r="K235" i="9" s="1"/>
  <c r="L235" i="9" s="1"/>
  <c r="J236" i="9" l="1"/>
  <c r="K236" i="9" s="1"/>
  <c r="L236" i="9" s="1"/>
  <c r="J237" i="9" l="1"/>
  <c r="K237" i="9" s="1"/>
  <c r="L237" i="9" s="1"/>
  <c r="J238" i="9" l="1"/>
  <c r="K238" i="9" s="1"/>
  <c r="L238" i="9" s="1"/>
  <c r="J239" i="9" l="1"/>
  <c r="K239" i="9" s="1"/>
  <c r="L239" i="9" s="1"/>
  <c r="J240" i="9" l="1"/>
  <c r="K240" i="9" s="1"/>
  <c r="L240" i="9" s="1"/>
  <c r="J241" i="9" l="1"/>
  <c r="K241" i="9" s="1"/>
  <c r="L241" i="9" s="1"/>
  <c r="J242" i="9" l="1"/>
  <c r="K242" i="9" s="1"/>
  <c r="L242" i="9" s="1"/>
  <c r="J243" i="9" l="1"/>
  <c r="K243" i="9" s="1"/>
  <c r="L243" i="9" s="1"/>
  <c r="J244" i="9" l="1"/>
  <c r="K244" i="9" s="1"/>
  <c r="L244" i="9" s="1"/>
  <c r="J245" i="9" l="1"/>
  <c r="K245" i="9" s="1"/>
  <c r="L245" i="9" s="1"/>
  <c r="J246" i="9" l="1"/>
  <c r="K246" i="9" s="1"/>
  <c r="L246" i="9" s="1"/>
  <c r="J247" i="9" l="1"/>
  <c r="K247" i="9" s="1"/>
  <c r="L247" i="9" s="1"/>
  <c r="J248" i="9" l="1"/>
  <c r="K248" i="9" s="1"/>
  <c r="L248" i="9" s="1"/>
  <c r="J249" i="9" l="1"/>
  <c r="K249" i="9" s="1"/>
  <c r="L249" i="9" s="1"/>
  <c r="J250" i="9" l="1"/>
  <c r="K250" i="9" s="1"/>
  <c r="L250" i="9" s="1"/>
  <c r="J251" i="9" l="1"/>
  <c r="K251" i="9" s="1"/>
  <c r="L251" i="9" s="1"/>
  <c r="J252" i="9" l="1"/>
  <c r="K252" i="9" s="1"/>
  <c r="L252" i="9" s="1"/>
  <c r="J253" i="9" l="1"/>
  <c r="K253" i="9" s="1"/>
  <c r="L253" i="9" s="1"/>
  <c r="J254" i="9" l="1"/>
  <c r="K254" i="9" s="1"/>
  <c r="L254" i="9" s="1"/>
  <c r="J255" i="9" l="1"/>
  <c r="K255" i="9" s="1"/>
  <c r="L255" i="9" s="1"/>
  <c r="J256" i="9" l="1"/>
  <c r="K256" i="9" s="1"/>
  <c r="L256" i="9" s="1"/>
  <c r="J257" i="9" l="1"/>
  <c r="K257" i="9" s="1"/>
  <c r="L257" i="9" s="1"/>
  <c r="J258" i="9" l="1"/>
  <c r="K258" i="9" s="1"/>
  <c r="L258" i="9" s="1"/>
  <c r="J259" i="9" l="1"/>
  <c r="K259" i="9" s="1"/>
  <c r="L259" i="9" s="1"/>
  <c r="J260" i="9" l="1"/>
  <c r="K260" i="9" s="1"/>
  <c r="L260" i="9" s="1"/>
  <c r="J261" i="9" l="1"/>
  <c r="K261" i="9" s="1"/>
  <c r="L261" i="9" s="1"/>
  <c r="J262" i="9" l="1"/>
  <c r="K262" i="9" s="1"/>
  <c r="L262" i="9" s="1"/>
  <c r="J263" i="9" l="1"/>
  <c r="K263" i="9" s="1"/>
  <c r="L263" i="9" s="1"/>
  <c r="J264" i="9" l="1"/>
  <c r="K264" i="9" s="1"/>
  <c r="L264" i="9" s="1"/>
  <c r="J265" i="9" l="1"/>
  <c r="K265" i="9" s="1"/>
  <c r="L265" i="9" s="1"/>
  <c r="J266" i="9" l="1"/>
  <c r="K266" i="9" s="1"/>
  <c r="L266" i="9" s="1"/>
  <c r="J267" i="9" l="1"/>
  <c r="K267" i="9" s="1"/>
  <c r="L267" i="9" s="1"/>
  <c r="J268" i="9" l="1"/>
  <c r="K268" i="9" s="1"/>
  <c r="L268" i="9" s="1"/>
  <c r="J269" i="9" l="1"/>
  <c r="K269" i="9" s="1"/>
  <c r="L269" i="9" s="1"/>
  <c r="J270" i="9" l="1"/>
  <c r="K270" i="9" s="1"/>
  <c r="L270" i="9" s="1"/>
  <c r="J271" i="9" l="1"/>
  <c r="K271" i="9" s="1"/>
  <c r="L271" i="9" s="1"/>
  <c r="J272" i="9" l="1"/>
  <c r="K272" i="9" s="1"/>
  <c r="L272" i="9" s="1"/>
  <c r="J273" i="9" l="1"/>
  <c r="K273" i="9" s="1"/>
  <c r="L273" i="9" s="1"/>
  <c r="J274" i="9" l="1"/>
  <c r="K274" i="9" s="1"/>
  <c r="L274" i="9" s="1"/>
  <c r="J275" i="9" l="1"/>
  <c r="K275" i="9" s="1"/>
  <c r="L275" i="9" s="1"/>
  <c r="J276" i="9" l="1"/>
  <c r="K276" i="9" s="1"/>
  <c r="L276" i="9" s="1"/>
  <c r="J277" i="9" l="1"/>
  <c r="K277" i="9" s="1"/>
  <c r="L277" i="9" s="1"/>
  <c r="J278" i="9" l="1"/>
  <c r="K278" i="9" s="1"/>
  <c r="L278" i="9" s="1"/>
  <c r="J279" i="9" l="1"/>
  <c r="K279" i="9" s="1"/>
  <c r="L279" i="9" s="1"/>
  <c r="J280" i="9" l="1"/>
  <c r="K280" i="9" s="1"/>
  <c r="L280" i="9" s="1"/>
  <c r="J281" i="9" l="1"/>
  <c r="K281" i="9" s="1"/>
  <c r="L281" i="9" s="1"/>
  <c r="J282" i="9" l="1"/>
  <c r="K282" i="9" s="1"/>
  <c r="L282" i="9" s="1"/>
  <c r="J283" i="9" l="1"/>
  <c r="K283" i="9" s="1"/>
  <c r="L283" i="9" s="1"/>
  <c r="J284" i="9" l="1"/>
  <c r="K284" i="9" s="1"/>
  <c r="L284" i="9" s="1"/>
  <c r="J285" i="9" l="1"/>
  <c r="K285" i="9" s="1"/>
  <c r="L285" i="9" s="1"/>
  <c r="J286" i="9" l="1"/>
  <c r="K286" i="9" s="1"/>
  <c r="L286" i="9" s="1"/>
  <c r="J287" i="9" l="1"/>
  <c r="K287" i="9" s="1"/>
  <c r="L287" i="9" s="1"/>
  <c r="J288" i="9" l="1"/>
  <c r="K288" i="9" s="1"/>
  <c r="L288" i="9" s="1"/>
  <c r="J289" i="9" l="1"/>
  <c r="K289" i="9" s="1"/>
  <c r="L289" i="9" s="1"/>
  <c r="J290" i="9" l="1"/>
  <c r="K290" i="9" s="1"/>
  <c r="L290" i="9" s="1"/>
  <c r="J291" i="9" l="1"/>
  <c r="K291" i="9" s="1"/>
  <c r="L291" i="9" s="1"/>
  <c r="J292" i="9" l="1"/>
  <c r="K292" i="9" s="1"/>
  <c r="L292" i="9" s="1"/>
  <c r="J293" i="9" l="1"/>
  <c r="K293" i="9" s="1"/>
  <c r="L293" i="9" s="1"/>
  <c r="J294" i="9" l="1"/>
  <c r="K294" i="9" s="1"/>
  <c r="L294" i="9" s="1"/>
  <c r="J295" i="9" l="1"/>
  <c r="K295" i="9" s="1"/>
  <c r="L295" i="9" s="1"/>
  <c r="J296" i="9" l="1"/>
  <c r="K296" i="9" s="1"/>
  <c r="L296" i="9" s="1"/>
  <c r="J297" i="9" l="1"/>
  <c r="K297" i="9" s="1"/>
  <c r="L297" i="9" s="1"/>
  <c r="J298" i="9" l="1"/>
  <c r="K298" i="9" s="1"/>
  <c r="L298" i="9" s="1"/>
  <c r="J299" i="9" l="1"/>
  <c r="K299" i="9" s="1"/>
  <c r="L299" i="9" s="1"/>
  <c r="J301" i="9" l="1"/>
  <c r="J300" i="9"/>
  <c r="K300" i="9" s="1"/>
  <c r="L300" i="9" s="1"/>
  <c r="K301" i="9" l="1"/>
  <c r="L301" i="9" s="1"/>
  <c r="K37" i="4"/>
  <c r="K38" i="4"/>
  <c r="K41" i="4"/>
  <c r="K39" i="4"/>
  <c r="K36" i="4"/>
  <c r="K40" i="4"/>
  <c r="J47" i="8"/>
  <c r="K33" i="4" s="1"/>
  <c r="K27" i="4" l="1"/>
  <c r="K28" i="4"/>
  <c r="K22" i="4"/>
  <c r="K31" i="4"/>
  <c r="K30" i="4"/>
  <c r="K23" i="4"/>
  <c r="K25" i="4"/>
  <c r="K35" i="4"/>
  <c r="K26" i="4"/>
  <c r="K29" i="4"/>
  <c r="K32" i="4"/>
  <c r="K34" i="4"/>
  <c r="K24" i="4"/>
  <c r="K21" i="4"/>
  <c r="L21" i="4" s="1"/>
  <c r="L22" i="4" l="1"/>
  <c r="L23" i="4" s="1"/>
  <c r="L24" i="4" s="1"/>
  <c r="L25" i="4" s="1"/>
  <c r="L26" i="4" s="1"/>
  <c r="L27" i="4" s="1"/>
  <c r="L28" i="4" s="1"/>
  <c r="L29" i="4" s="1"/>
  <c r="L30" i="4" s="1"/>
  <c r="L31" i="4" s="1"/>
  <c r="L32" i="4" s="1"/>
  <c r="L33" i="4" s="1"/>
  <c r="L34" i="4" s="1"/>
  <c r="L35" i="4" s="1"/>
  <c r="L36" i="4" s="1"/>
  <c r="L37" i="4" s="1"/>
  <c r="L38" i="4" s="1"/>
  <c r="L39" i="4" s="1"/>
  <c r="L40" i="4" s="1"/>
  <c r="L41" i="4" s="1"/>
  <c r="T58" i="8" s="1"/>
  <c r="T5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Quentin MAILLAND</author>
    <author>tc={8F7406AD-0F0C-4FAA-8F42-1C113CAEE69A}</author>
  </authors>
  <commentList>
    <comment ref="Q20" authorId="0" shapeId="0" xr:uid="{C3C1C056-977D-414D-BDA7-8592B08383E3}">
      <text>
        <r>
          <rPr>
            <b/>
            <sz val="9"/>
            <color indexed="81"/>
            <rFont val="Tahoma"/>
            <family val="2"/>
          </rPr>
          <t>MM: Attention confusion possible entre coup de pouce et CEE classique.
Rentrer alors directement le montant dans votre cas d'étude</t>
        </r>
      </text>
    </comment>
    <comment ref="D21" authorId="1" shapeId="0" xr:uid="{A6DA5690-9C9C-4765-84DC-DD5810A1A1A4}">
      <text>
        <r>
          <rPr>
            <b/>
            <sz val="9"/>
            <color indexed="81"/>
            <rFont val="Tahoma"/>
            <family val="2"/>
          </rPr>
          <t>13 000 à 20 000 € (avec captage)</t>
        </r>
        <r>
          <rPr>
            <sz val="9"/>
            <color indexed="81"/>
            <rFont val="Tahoma"/>
            <family val="2"/>
          </rPr>
          <t xml:space="preserve">
</t>
        </r>
      </text>
    </comment>
    <comment ref="D22" authorId="1" shapeId="0" xr:uid="{FB32DF12-A392-4077-BD89-9E825C2157B2}">
      <text>
        <r>
          <rPr>
            <b/>
            <sz val="9"/>
            <color indexed="81"/>
            <rFont val="Tahoma"/>
            <family val="2"/>
          </rPr>
          <t>7 000 à 18 000 €</t>
        </r>
      </text>
    </comment>
    <comment ref="D23" authorId="1" shapeId="0" xr:uid="{90BD23DE-87CE-496A-90AF-121F214EA298}">
      <text>
        <r>
          <rPr>
            <sz val="9"/>
            <color indexed="81"/>
            <rFont val="Tahoma"/>
            <family val="2"/>
          </rPr>
          <t xml:space="preserve">12 000 à 15 000 €(environ 1000 € m²)
</t>
        </r>
      </text>
    </comment>
    <comment ref="D24" authorId="1" shapeId="0" xr:uid="{4AFA8B40-6153-4205-8AF8-3887F3E7EBDB}">
      <text>
        <r>
          <rPr>
            <b/>
            <sz val="9"/>
            <color indexed="81"/>
            <rFont val="Tahoma"/>
            <family val="2"/>
          </rPr>
          <t xml:space="preserve">12 000 à 20 000 €
</t>
        </r>
      </text>
    </comment>
    <comment ref="D25" authorId="1" shapeId="0" xr:uid="{61C0FF54-F0F4-41F6-9FAB-A17CE2B914F8}">
      <text>
        <r>
          <rPr>
            <b/>
            <sz val="9"/>
            <color indexed="81"/>
            <rFont val="Tahoma"/>
            <family val="2"/>
          </rPr>
          <t>PAC seul : 10 000 à 15 000 € (hors relève de la chaudière
PAC en appoint de la chaudière : 5 000 à 15 000 € (hors chaudière</t>
        </r>
      </text>
    </comment>
    <comment ref="D27" authorId="1" shapeId="0" xr:uid="{C09BCEFC-10C0-4E51-8C63-31D03790505E}">
      <text>
        <r>
          <rPr>
            <b/>
            <sz val="9"/>
            <color indexed="81"/>
            <rFont val="Tahoma"/>
            <family val="2"/>
          </rPr>
          <t xml:space="preserve">2 000 à 7 500 € </t>
        </r>
      </text>
    </comment>
    <comment ref="D28" authorId="1" shapeId="0" xr:uid="{835571B6-5CFE-4859-8FA2-CC14CFB9CDBF}">
      <text>
        <r>
          <rPr>
            <b/>
            <sz val="9"/>
            <color indexed="81"/>
            <rFont val="Tahoma"/>
            <family val="2"/>
          </rPr>
          <t>Insert, foyer fermé, poêle à bûches : 1 500 à 6 000 €
Poêle de masse : 5 500 à 17 500 €</t>
        </r>
      </text>
    </comment>
    <comment ref="D29" authorId="1" shapeId="0" xr:uid="{BD349509-27A7-4343-8E15-C5504698B94A}">
      <text>
        <r>
          <rPr>
            <b/>
            <sz val="9"/>
            <color indexed="81"/>
            <rFont val="Tahoma"/>
            <family val="2"/>
          </rPr>
          <t>4 500 à 7000 €</t>
        </r>
      </text>
    </comment>
    <comment ref="D30" authorId="1" shapeId="0" xr:uid="{7C429DAF-4836-4195-8BFA-29853D28DD98}">
      <text>
        <r>
          <rPr>
            <b/>
            <sz val="9"/>
            <color indexed="81"/>
            <rFont val="Tahoma"/>
            <family val="2"/>
          </rPr>
          <t>Insert, foyer fermé, poêle à bûches : 1 500 à 6 000 €</t>
        </r>
      </text>
    </comment>
    <comment ref="D31" authorId="1" shapeId="0" xr:uid="{521D8B8D-B06E-4CC2-98B2-817E585240C5}">
      <text>
        <r>
          <rPr>
            <b/>
            <sz val="9"/>
            <color indexed="81"/>
            <rFont val="Tahoma"/>
            <family val="2"/>
          </rPr>
          <t>3000 à 5000 €</t>
        </r>
      </text>
    </comment>
    <comment ref="A33" authorId="2" shapeId="0" xr:uid="{8F7406AD-0F0C-4FAA-8F42-1C113CAEE69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bien éligible pour HMS: voir FAQ Anah
http://aide-instruction.anah.gouv.fr/?p=1952</t>
      </text>
    </comment>
    <comment ref="D34" authorId="1" shapeId="0" xr:uid="{94AB98B3-E21C-471C-8804-FA43D9325C0A}">
      <text>
        <r>
          <rPr>
            <b/>
            <sz val="9"/>
            <color indexed="81"/>
            <rFont val="Tahoma"/>
            <family val="2"/>
          </rPr>
          <t>4 500 à 7 000 €</t>
        </r>
      </text>
    </comment>
    <comment ref="D35" authorId="1" shapeId="0" xr:uid="{F7B84E49-EB9A-43D5-9E8F-6D48040EEE84}">
      <text>
        <r>
          <rPr>
            <b/>
            <sz val="9"/>
            <color indexed="81"/>
            <rFont val="Tahoma"/>
            <family val="2"/>
          </rPr>
          <t>2 500 à 4 000 €</t>
        </r>
      </text>
    </comment>
    <comment ref="D38" authorId="1" shapeId="0" xr:uid="{4A7A9C2C-70DC-4531-BE2F-9C08B3B591AF}">
      <text>
        <r>
          <rPr>
            <b/>
            <sz val="9"/>
            <color indexed="81"/>
            <rFont val="Tahoma"/>
            <family val="2"/>
          </rPr>
          <t>3 450 à 4 600 € HT par logement</t>
        </r>
      </text>
    </comment>
    <comment ref="D39" authorId="1" shapeId="0" xr:uid="{F3BE12ED-2F6F-4769-AC30-5C6DAE0D5953}">
      <text>
        <r>
          <rPr>
            <b/>
            <sz val="9"/>
            <color indexed="81"/>
            <rFont val="Tahoma"/>
            <family val="2"/>
          </rPr>
          <t>VMC SF auto : 750 à 1000 €
VMC SF Hygro :1 200 à 1 600 €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tc={C5EE307E-FE2F-4589-94C3-F6A55F9153A6}</author>
    <author>Quentin MAILLAND</author>
  </authors>
  <commentList>
    <comment ref="J21" authorId="0" shapeId="0" xr:uid="{C5EE307E-FE2F-4589-94C3-F6A55F9153A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année 0: = situation actuelle</t>
      </text>
    </comment>
    <comment ref="B98" authorId="1" shapeId="0" xr:uid="{19EC42B5-1450-44ED-B98D-6054719F2C9B}">
      <text>
        <r>
          <rPr>
            <b/>
            <sz val="9"/>
            <color indexed="81"/>
            <rFont val="Tahoma"/>
            <family val="2"/>
          </rPr>
          <t>Quentin MAILLAND:</t>
        </r>
        <r>
          <rPr>
            <sz val="9"/>
            <color indexed="81"/>
            <rFont val="Tahoma"/>
            <family val="2"/>
          </rPr>
          <t xml:space="preserve">
Remplacement d'un foyer ouvert et foyes fermé d’avant 2002 par matériel flamme verte 7*</t>
        </r>
      </text>
    </comment>
    <comment ref="N232" authorId="1" shapeId="0" xr:uid="{68F6A98F-843C-4948-99A1-B8299B39BCD3}">
      <text>
        <r>
          <rPr>
            <b/>
            <sz val="9"/>
            <color indexed="81"/>
            <rFont val="Tahoma"/>
            <family val="2"/>
          </rPr>
          <t>Quentin MAILLAND:</t>
        </r>
        <r>
          <rPr>
            <sz val="9"/>
            <color indexed="81"/>
            <rFont val="Tahoma"/>
            <family val="2"/>
          </rPr>
          <t xml:space="preserve">
Source : https://www.data.gouv.fr/fr/datasets/impots-locaux/#</t>
        </r>
      </text>
    </comment>
    <comment ref="O232" authorId="1" shapeId="0" xr:uid="{249EBBE5-6BE7-4337-A53B-075F35DF0171}">
      <text>
        <r>
          <rPr>
            <b/>
            <sz val="9"/>
            <color indexed="81"/>
            <rFont val="Tahoma"/>
            <family val="2"/>
          </rPr>
          <t>Quentin MAILLAND:</t>
        </r>
        <r>
          <rPr>
            <sz val="9"/>
            <color indexed="81"/>
            <rFont val="Tahoma"/>
            <family val="2"/>
          </rPr>
          <t xml:space="preserve">
Source : https://www.data.gouv.fr/fr/datasets/impots-locaux/#</t>
        </r>
      </text>
    </comment>
    <comment ref="P232" authorId="1" shapeId="0" xr:uid="{11E08BC0-8B3F-4A69-B0F3-C0B74D8662B1}">
      <text>
        <r>
          <rPr>
            <b/>
            <sz val="9"/>
            <color indexed="81"/>
            <rFont val="Tahoma"/>
            <family val="2"/>
          </rPr>
          <t>Quentin MAILLAND:</t>
        </r>
        <r>
          <rPr>
            <sz val="9"/>
            <color indexed="81"/>
            <rFont val="Tahoma"/>
            <family val="2"/>
          </rPr>
          <t xml:space="preserve">
Source : https://www.data.gouv.fr/fr/datasets/impots-locaux/#</t>
        </r>
      </text>
    </comment>
    <comment ref="Q232" authorId="1" shapeId="0" xr:uid="{696A2770-CC54-406D-9AFD-F1D72C467BB0}">
      <text>
        <r>
          <rPr>
            <b/>
            <sz val="9"/>
            <color indexed="81"/>
            <rFont val="Tahoma"/>
            <family val="2"/>
          </rPr>
          <t>Quentin MAILLAND:</t>
        </r>
        <r>
          <rPr>
            <sz val="9"/>
            <color indexed="81"/>
            <rFont val="Tahoma"/>
            <family val="2"/>
          </rPr>
          <t xml:space="preserve">
Source : https://www.data.gouv.fr/fr/datasets/impots-locaux/#</t>
        </r>
      </text>
    </comment>
    <comment ref="R232" authorId="1" shapeId="0" xr:uid="{2B004E06-67F1-4B11-82E2-379344BA2E2F}">
      <text>
        <r>
          <rPr>
            <b/>
            <sz val="9"/>
            <color indexed="81"/>
            <rFont val="Tahoma"/>
            <family val="2"/>
          </rPr>
          <t>Quentin MAILLAND:</t>
        </r>
        <r>
          <rPr>
            <sz val="9"/>
            <color indexed="81"/>
            <rFont val="Tahoma"/>
            <family val="2"/>
          </rPr>
          <t xml:space="preserve">
https://www.data.gouv.fr/fr/datasets/impots-locaux-fichier-de-recensement-des-elements-dimposition-a-la-fiscalite-directe-locale-rei-3/</t>
        </r>
      </text>
    </comment>
    <comment ref="S232" authorId="1" shapeId="0" xr:uid="{3580329F-DCB0-4F9B-ADB4-E0F7DB68A430}">
      <text>
        <r>
          <rPr>
            <b/>
            <sz val="9"/>
            <color indexed="81"/>
            <rFont val="Tahoma"/>
            <family val="2"/>
          </rPr>
          <t>Quentin MAILLAND:</t>
        </r>
        <r>
          <rPr>
            <sz val="9"/>
            <color indexed="81"/>
            <rFont val="Tahoma"/>
            <family val="2"/>
          </rPr>
          <t xml:space="preserve">
Source : https://www.data.gouv.fr/fr/datasets/impots-locaux/#</t>
        </r>
      </text>
    </comment>
    <comment ref="T232" authorId="1" shapeId="0" xr:uid="{48C204F4-A4E5-4DF9-ABFC-730F23A6D5D8}">
      <text>
        <r>
          <rPr>
            <b/>
            <sz val="9"/>
            <color indexed="81"/>
            <rFont val="Tahoma"/>
            <family val="2"/>
          </rPr>
          <t>Quentin MAILLAND:</t>
        </r>
        <r>
          <rPr>
            <sz val="9"/>
            <color indexed="81"/>
            <rFont val="Tahoma"/>
            <family val="2"/>
          </rPr>
          <t xml:space="preserve">
https://www.data.gouv.fr/fr/datasets/impots-locaux-fichier-de-recensement-des-elements-dimposition-a-la-fiscalite-directe-locale-rei-3/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Poste6</author>
    <author>Quentin MAILLAND</author>
  </authors>
  <commentList>
    <comment ref="D17" authorId="0" shapeId="0" xr:uid="{03868EC8-ED7E-40DD-A72F-E389E87DB096}">
      <text>
        <r>
          <rPr>
            <b/>
            <sz val="10"/>
            <color indexed="81"/>
            <rFont val="Calibri"/>
            <family val="2"/>
            <scheme val="minor"/>
          </rPr>
          <t>Montant après déduction des autres aides percues (aides régionales, départementales, communales, ANAH, etc.)</t>
        </r>
        <r>
          <rPr>
            <sz val="9"/>
            <color indexed="81"/>
            <rFont val="Tahoma"/>
            <family val="2"/>
          </rPr>
          <t xml:space="preserve">
</t>
        </r>
      </text>
    </comment>
    <comment ref="J17" authorId="1" shapeId="0" xr:uid="{F6C22691-9A6F-40BE-8A9C-F0A751C7A95A}">
      <text>
        <r>
          <rPr>
            <b/>
            <sz val="9"/>
            <color indexed="81"/>
            <rFont val="Tahoma"/>
            <family val="2"/>
          </rPr>
          <t>Cumulable avec :
- Bonus sortie de passeoire 
- Bonus BBC 
- Primes "Coup de Pouce et CEE
- Aide regionale
- Aides locales
Articulable avec (travaux différents : 
- ANAH</t>
        </r>
      </text>
    </comment>
    <comment ref="D18" authorId="0" shapeId="0" xr:uid="{008E18B8-B8A8-4D5D-A028-175BCDD215A6}">
      <text>
        <r>
          <rPr>
            <b/>
            <sz val="10"/>
            <color indexed="81"/>
            <rFont val="Calibri"/>
            <family val="2"/>
            <scheme val="minor"/>
          </rPr>
          <t>Montant après déduction des autres aides percues (aides régionales, départementales, communales, ANAH, etc.)</t>
        </r>
        <r>
          <rPr>
            <sz val="9"/>
            <color indexed="81"/>
            <rFont val="Tahoma"/>
            <family val="2"/>
          </rPr>
          <t xml:space="preserve">
</t>
        </r>
      </text>
    </comment>
    <comment ref="J18" authorId="1" shapeId="0" xr:uid="{86A85AD7-423A-4DCA-988F-B9BD7566E7D2}">
      <text>
        <r>
          <rPr>
            <b/>
            <sz val="9"/>
            <color indexed="81"/>
            <rFont val="Tahoma"/>
            <family val="2"/>
          </rPr>
          <t>Cumulable avec :
- Bonus sortie de passeoire 
- Bonus BBC 
- Primes "Coup de Pouce et CEE
- Aide regionale
- Aides locales
Articulable avec (travaux différents : 
- ANAH</t>
        </r>
      </text>
    </comment>
    <comment ref="D19" authorId="0" shapeId="0" xr:uid="{B678542F-978D-42D2-885A-096680B5CA41}">
      <text>
        <r>
          <rPr>
            <b/>
            <sz val="10"/>
            <color indexed="81"/>
            <rFont val="Calibri"/>
            <family val="2"/>
            <scheme val="minor"/>
          </rPr>
          <t>Montant après déduction des autres aides percues (aides régionales, départementales, communales, ANAH, etc.)</t>
        </r>
        <r>
          <rPr>
            <sz val="9"/>
            <color indexed="81"/>
            <rFont val="Tahoma"/>
            <family val="2"/>
          </rPr>
          <t xml:space="preserve">
</t>
        </r>
      </text>
    </comment>
    <comment ref="J19" authorId="1" shapeId="0" xr:uid="{439BB27C-15BC-4C07-BDEF-8D56AEC0DAB7}">
      <text>
        <r>
          <rPr>
            <b/>
            <sz val="9"/>
            <color indexed="81"/>
            <rFont val="Tahoma"/>
            <family val="2"/>
          </rPr>
          <t>Cumulable avec :
- MPR 
- Bonus sortie de passeoire 
- Bonus BBC 
- Primes "Coup de Pouce et CEE
- Coup de pouce réno globale 
- Aide regionale
- Aides locales</t>
        </r>
      </text>
    </comment>
    <comment ref="J20" authorId="1" shapeId="0" xr:uid="{4731F6FC-2C08-4C5E-8CBC-B3346E6B7A58}">
      <text>
        <r>
          <rPr>
            <b/>
            <sz val="9"/>
            <color indexed="81"/>
            <rFont val="Tahoma"/>
            <family val="2"/>
          </rPr>
          <t>Cumulable avec :
- MPR 
- Bonus sortie de passeoire 
- Bonus BBC 
- Primes "Coup de Pouce et CEE
- Coup de pouce réno globale 
- Aide regionale
- Aides locales</t>
        </r>
      </text>
    </comment>
    <comment ref="J21" authorId="1" shapeId="0" xr:uid="{A2F8F45E-9A06-4222-A2A5-E7FDDBB43B97}">
      <text>
        <r>
          <rPr>
            <b/>
            <sz val="9"/>
            <color indexed="81"/>
            <rFont val="Tahoma"/>
            <family val="2"/>
          </rPr>
          <t>Cumulable avec :
- MPR 
- Bonus sortie de passeoire 
- Bonus BBC 
- Aide regionale
- Aides locales
Articulable avec (travaux différents : 
- ANAH</t>
        </r>
      </text>
    </comment>
    <comment ref="J22" authorId="1" shapeId="0" xr:uid="{4E42E66D-D098-47AD-AB1E-68A283369BA3}">
      <text>
        <r>
          <rPr>
            <b/>
            <sz val="9"/>
            <color indexed="81"/>
            <rFont val="Tahoma"/>
            <family val="2"/>
          </rPr>
          <t>Cumulable avec :
- Bonus sortie de passeoire 
- Bonus BBC 
- Aide regionale
- Aides locales</t>
        </r>
      </text>
    </comment>
    <comment ref="J23" authorId="1" shapeId="0" xr:uid="{546239EC-5AEF-4F6E-BCEA-0CA23F323653}">
      <text>
        <r>
          <rPr>
            <b/>
            <sz val="9"/>
            <color indexed="81"/>
            <rFont val="Tahoma"/>
            <family val="2"/>
          </rPr>
          <t xml:space="preserve">Cumulable avec :
- Aide regionale
- Aides locales
Articulable avec (travaux différents : 
- MPR 
- Primes "Coup de Pouce et CEE
</t>
        </r>
      </text>
    </comment>
    <comment ref="J24" authorId="1" shapeId="0" xr:uid="{BD85DF7A-743D-4404-8AE2-1212D5013FB0}">
      <text>
        <r>
          <rPr>
            <b/>
            <sz val="9"/>
            <color indexed="81"/>
            <rFont val="Tahoma"/>
            <family val="2"/>
          </rPr>
          <t xml:space="preserve">Cumulable avec :
- Aide regionale
- Aides locales
Articulable avec (travaux différents : 
- MPR 
- Primes "Coup de Pouce et CEE
</t>
        </r>
      </text>
    </comment>
    <comment ref="D25" authorId="1" shapeId="0" xr:uid="{32C6ECAB-887A-4CD2-847A-3AF85A131AE4}">
      <text>
        <r>
          <rPr>
            <b/>
            <sz val="9"/>
            <color indexed="81"/>
            <rFont val="Tahoma"/>
            <family val="2"/>
          </rPr>
          <t>a, Objectif de l’aide régionale</t>
        </r>
        <r>
          <rPr>
            <sz val="9"/>
            <color indexed="81"/>
            <rFont val="Tahoma"/>
            <family val="2"/>
          </rPr>
          <t xml:space="preserve">
L’objectif du versement d’une prime Air-Bois aux particuliers est de les inciter à remplacer leurs foyers fermés d’avant 2002 à usage principal par des équipements performants moins émetteurs de polluants atmosphériques et d’améliorer leurs pratiques afin d’utiliser ces nouveaux appareils dans les meilleures conditions.
Ce matériel plus performant en matière d’émissions polluantes permet également de réaliser des économies de combustible et de baisser ainsi la facture de chauffage des bénéficiaires.
</t>
        </r>
        <r>
          <rPr>
            <b/>
            <sz val="9"/>
            <color indexed="81"/>
            <rFont val="Tahoma"/>
            <family val="2"/>
          </rPr>
          <t xml:space="preserve">b. Conditions d’éligibilité à la prime Air-Bois
</t>
        </r>
        <r>
          <rPr>
            <sz val="9"/>
            <color indexed="81"/>
            <rFont val="Tahoma"/>
            <family val="2"/>
          </rPr>
          <t xml:space="preserve">
</t>
        </r>
        <r>
          <rPr>
            <u/>
            <sz val="9"/>
            <color indexed="81"/>
            <rFont val="Tahoma"/>
            <family val="2"/>
          </rPr>
          <t>Bénéficiaires éligibles</t>
        </r>
        <r>
          <rPr>
            <sz val="9"/>
            <color indexed="81"/>
            <rFont val="Tahoma"/>
            <family val="2"/>
          </rPr>
          <t xml:space="preserve">
Sont éligibles aux aides du Fonds Air-Bois régional, les particuliers qui remplissent les conditions suivantes :
- Etre propriétaire occupant de son logement.
- Le logement est une résidence principale achevée depuis plus de 2 ans.
- La résidence concernée est en Île-de-France.
Le territoire de Paris, soumis à une réglementation1 spécifique sur l’utilisation du chauffage individuel au bois, est de fait exclu par le présent dispositif.
</t>
        </r>
        <r>
          <rPr>
            <u/>
            <sz val="9"/>
            <color indexed="81"/>
            <rFont val="Tahoma"/>
            <family val="2"/>
          </rPr>
          <t>Restrictions particulières</t>
        </r>
        <r>
          <rPr>
            <sz val="9"/>
            <color indexed="81"/>
            <rFont val="Tahoma"/>
            <family val="2"/>
          </rPr>
          <t xml:space="preserve">
Les particuliers devront s’engager à renoncer aux Certificats d'Economies d'Energie (CEE) pour la nouvelle installation.
De ce fait, cette aide est non cumulable avec les aides du programme « Habiter mieux » de l'Agence nationale de l'habitat, ANAH qui repose sur les CEE.
Cette aide est en revanche cumulable avec l’aide de l’ANAH « Habiter Mieux Agilité » dont le dispositif est différent.
En tout cas le plafond de 80 % d’aides publiques pour les dépenses engagées par le particulier ne pourra pas être dépassé.
</t>
        </r>
        <r>
          <rPr>
            <u/>
            <sz val="9"/>
            <color indexed="81"/>
            <rFont val="Tahoma"/>
            <family val="2"/>
          </rPr>
          <t>Investissements éligibles</t>
        </r>
        <r>
          <rPr>
            <sz val="9"/>
            <color indexed="81"/>
            <rFont val="Tahoma"/>
            <family val="2"/>
          </rPr>
          <t xml:space="preserve">
Les investissements éligibles concernent le remplacement d’un foyer fermé datant d’avant 2002 (2) utilisé pour chauffer à titre principal le logement par un équipement performant labellisé Flamme verte 7 étoiles ou inscrit sur le registre ADEME d’équivalence.
Les appareils éligibles au fonds sont ceux indiqués dans les listes fournies par ADEME :
- http://www.ademe.fr/expertises/energies-renouvelables-reseaux-stockage/passer-alaction/produire-chaleur/dossier/bois-biomasse/bois-energie-qualite-lair
- Les autres types de foyers et d’usage sont exclus du dispositif.
</t>
        </r>
        <r>
          <rPr>
            <u/>
            <sz val="9"/>
            <color indexed="81"/>
            <rFont val="Tahoma"/>
            <family val="2"/>
          </rPr>
          <t>Faire installer le nouvel appareil par un professionnel RGE</t>
        </r>
        <r>
          <rPr>
            <sz val="9"/>
            <color indexed="81"/>
            <rFont val="Tahoma"/>
            <family val="2"/>
          </rPr>
          <t xml:space="preserve">
Afin que l’installation de l’équipement soit réalisée par un professionnel compétent, l’installateur devra être labellisé RGE (Reconnu Garant de l’Environnement).
</t>
        </r>
        <r>
          <rPr>
            <u/>
            <sz val="9"/>
            <color indexed="81"/>
            <rFont val="Tahoma"/>
            <family val="2"/>
          </rPr>
          <t>S’engager à faire détruire l’ancien appareil</t>
        </r>
        <r>
          <rPr>
            <sz val="9"/>
            <color indexed="81"/>
            <rFont val="Tahoma"/>
            <family val="2"/>
          </rPr>
          <t xml:space="preserve">
Dans l’objectif de ne pas réemployer les anciens appareils, un engagement à faire détruire l’ancien appareil sera exigé dans le dossier de demande d’aide.
Une fois les travaux réalisés, une preuve d’élimination de cet appareil sera alors demandée.
</t>
        </r>
        <r>
          <rPr>
            <u/>
            <sz val="9"/>
            <color indexed="81"/>
            <rFont val="Tahoma"/>
            <family val="2"/>
          </rPr>
          <t>Date de la demande d’aide</t>
        </r>
        <r>
          <rPr>
            <sz val="9"/>
            <color indexed="81"/>
            <rFont val="Tahoma"/>
            <family val="2"/>
          </rPr>
          <t xml:space="preserve">
Chaque demande d’aide devra être antérieure à toutes dépenses, afin de garantir l’effet de levier du fonds.
</t>
        </r>
        <r>
          <rPr>
            <b/>
            <sz val="9"/>
            <color indexed="81"/>
            <rFont val="Tahoma"/>
            <family val="2"/>
          </rPr>
          <t>c. Montant de l’aide</t>
        </r>
        <r>
          <rPr>
            <sz val="9"/>
            <color indexed="81"/>
            <rFont val="Tahoma"/>
            <family val="2"/>
          </rPr>
          <t xml:space="preserve">
Le montant de la prime du « fonds Air-Bois » versée aux particuliers est de 1 000 € maximum par équipement changé. La clef de répartition sur l’origine du financement de la prime est de moitié
pour l’ADEME (500 € maximum) et moitié pour la REGION (500 € maximum également).
En complément de l’aide versée sous la forme d’une prime Air-Bois, le bénéficiaire pourra bénéficier d’une « surprime » ou « bonus régional » s’il participe à diffuser les informations sur
l’intérêt de la démarche et sur les bonnes pratiques pour limiter les émissions polluantes liées au chauffage au bois auprès d’un francilien potentiellement concerné (remplissage d’un document de parrainage). A noter qu’il n’y a pas d’engagement de sa part à remplacer son équipement de chauffage.
L’objectif de cette opération de « parrainage » est que les bénéficiaires du « bonus régional » participent à la diffusion des informations sur :
- l’existence du fonds Air-Bois,
- son intérêt (moins de pollution et moins de bois consommé),
- les bonnes pratiques pour maximiser les performances environnementales et énergétiques du chauffage au bois.
Le taux maximum d’aide (prime du Fonds Air-Bois+ bonus régional) est plafonné à 80% des dépenses.
</t>
        </r>
        <r>
          <rPr>
            <b/>
            <sz val="9"/>
            <color indexed="81"/>
            <rFont val="Tahoma"/>
            <family val="2"/>
          </rPr>
          <t>d. Instruction</t>
        </r>
        <r>
          <rPr>
            <sz val="9"/>
            <color indexed="81"/>
            <rFont val="Tahoma"/>
            <family val="2"/>
          </rPr>
          <t xml:space="preserve">
Le dépôt des dossiers de demandes d’aide seront effectués dans les conditions indiquées sur le site de la Région.
Le dossier de demande d’aide complété sera déposé accompagné notamment :
- du formulaire de demande de la prime Air-Bois avec un devis rempli par une entreprise RGE,
- de documents justificatifs pour le lieu de résidence (copie de la dernière taxe foncière ou de la dernière taxe d’habitation ou acte notarié de propriété en cas d’acquisition récente),
- d’un relevé d’identité bancaire ou postal où figure le nom du demandeur ainsi que l’adresse du logement concerné par le projet,
- d’une photo ou facture d’achat de l’appareil de chauffage existant antérieur à 2002,
Le gestionnaire du dispositif, l’Agence de services et de paiement (ASP), procède au traitement de la demande et versera l’aide à réception de justificatifs notamment :
- de la facture acquittée des travaux réalisés par l’entreprise RGE, correspondante au devis joint dans le dossier de demande d’aide,
- du certificat de destruction de l’ancien appareil remis soit par l’entreprise RGE (CERFA 14012-01), soit par une déchèterie (le modèle de document sera transmis par l’ADEME),
- des photos du chantier et du nouvel équipement installé,
- du formulaire de parrainage qui sert à l’obtention du versement du « bonus régional ».
L’ASP procède au versement en une seule fois, sur production par le bénéficiaire des pièces suivantes transmises à l’ASP, qui procède à la vérification/conformité du matériel acheté.</t>
        </r>
      </text>
    </comment>
    <comment ref="J25" authorId="1" shapeId="0" xr:uid="{DEB8505D-6171-481A-9695-A64D726D8F39}">
      <text>
        <r>
          <rPr>
            <b/>
            <sz val="9"/>
            <color indexed="81"/>
            <rFont val="Tahoma"/>
            <family val="2"/>
          </rPr>
          <t>Cumulable avec :
- MPR 
- Bonus sortie de passeoire 
- Bonus BBC 
- Primes "Coup de Pouce et CEE
- Coup de pouce réno globale 
- ANAH
- Aide regionale
- Aides locales</t>
        </r>
      </text>
    </comment>
    <comment ref="J26" authorId="1" shapeId="0" xr:uid="{2B20EBFE-6D32-4C4E-9DEF-C05C2A79E1FD}">
      <text>
        <r>
          <rPr>
            <b/>
            <sz val="9"/>
            <color indexed="81"/>
            <rFont val="Tahoma"/>
            <family val="2"/>
          </rPr>
          <t>Cumulable avec :
- MPR 
- Bonus sortie de passeoire 
- Bonus BBC 
- Primes "Coup de Pouce et CEE
- Coup de pouce réno globale 
- ANAH
- Aide regionale
- Aides locales</t>
        </r>
      </text>
    </comment>
    <comment ref="J47" authorId="0" shapeId="0" xr:uid="{7CA27E01-274C-427C-8BB6-2120B9E556A4}">
      <text>
        <r>
          <rPr>
            <b/>
            <sz val="12"/>
            <color indexed="81"/>
            <rFont val="Calibri"/>
            <family val="2"/>
            <scheme val="minor"/>
          </rPr>
          <t>Assurance comprise</t>
        </r>
      </text>
    </comment>
    <comment ref="J55" authorId="0" shapeId="0" xr:uid="{5DA46413-DC43-4DFE-A477-ED8F05A36728}">
      <text>
        <r>
          <rPr>
            <b/>
            <sz val="12"/>
            <color indexed="81"/>
            <rFont val="Calibri"/>
            <family val="2"/>
            <scheme val="minor"/>
          </rPr>
          <t>Assurance comprise</t>
        </r>
        <r>
          <rPr>
            <sz val="9"/>
            <color indexed="81"/>
            <rFont val="Tahoma"/>
            <family val="2"/>
          </rPr>
          <t xml:space="preserve">
</t>
        </r>
      </text>
    </comment>
    <comment ref="J57" authorId="0" shapeId="0" xr:uid="{3566AE9A-28E5-481C-8C10-801423AC6D09}">
      <text>
        <r>
          <rPr>
            <b/>
            <sz val="12"/>
            <color indexed="81"/>
            <rFont val="Calibri"/>
            <family val="2"/>
            <scheme val="minor"/>
          </rPr>
          <t>Assurance comprise</t>
        </r>
      </text>
    </comment>
  </commentList>
</comments>
</file>

<file path=xl/sharedStrings.xml><?xml version="1.0" encoding="utf-8"?>
<sst xmlns="http://schemas.openxmlformats.org/spreadsheetml/2006/main" count="1369" uniqueCount="657">
  <si>
    <t>Reste à charge</t>
  </si>
  <si>
    <t>Travaux</t>
  </si>
  <si>
    <t>MPR</t>
  </si>
  <si>
    <t>Liste déroulante</t>
  </si>
  <si>
    <t>Civilité</t>
  </si>
  <si>
    <t>Statut</t>
  </si>
  <si>
    <t>Type logement</t>
  </si>
  <si>
    <t>Réponse situation</t>
  </si>
  <si>
    <t>Ancienneté bâtiment</t>
  </si>
  <si>
    <t>Composition foyer</t>
  </si>
  <si>
    <t>Nombre_Foyer</t>
  </si>
  <si>
    <t>Type d'aides ANAH</t>
  </si>
  <si>
    <t>Critères aides Montreuil</t>
  </si>
  <si>
    <t>Energie</t>
  </si>
  <si>
    <t xml:space="preserve">Zonage </t>
  </si>
  <si>
    <t>Type travayx</t>
  </si>
  <si>
    <t>Critères fond air-bois</t>
  </si>
  <si>
    <t>Eco-prêt_O%</t>
  </si>
  <si>
    <t>Monsieur</t>
  </si>
  <si>
    <t>PO</t>
  </si>
  <si>
    <t>Maison individuel</t>
  </si>
  <si>
    <t>Oui</t>
  </si>
  <si>
    <t>En projet</t>
  </si>
  <si>
    <t>Célibataire sans enfant</t>
  </si>
  <si>
    <t>Travaux lourds d'un logement indigne ou très dégradé</t>
  </si>
  <si>
    <r>
      <t xml:space="preserve">R </t>
    </r>
    <r>
      <rPr>
        <sz val="11"/>
        <color theme="1"/>
        <rFont val="Calibri"/>
        <family val="2"/>
      </rPr>
      <t>≥</t>
    </r>
    <r>
      <rPr>
        <sz val="11"/>
        <color theme="1"/>
        <rFont val="Calibri"/>
        <family val="2"/>
        <scheme val="minor"/>
      </rPr>
      <t xml:space="preserve"> P exigée</t>
    </r>
  </si>
  <si>
    <t>Electricité</t>
  </si>
  <si>
    <t>A bis</t>
  </si>
  <si>
    <t>Travaux lourds</t>
  </si>
  <si>
    <t>Remplacement d'un foyer ouvert ou foyers fermés d'avant 2002</t>
  </si>
  <si>
    <t>Madame</t>
  </si>
  <si>
    <t>PB</t>
  </si>
  <si>
    <t>Appartement</t>
  </si>
  <si>
    <t>Non</t>
  </si>
  <si>
    <t>Neuf (-2 ans)</t>
  </si>
  <si>
    <t>Célibataire avec enfant(s)</t>
  </si>
  <si>
    <t>Travaux pour la sécurité et la salubrité de l'habitat</t>
  </si>
  <si>
    <t>Mat. écologique</t>
  </si>
  <si>
    <t>Gaz</t>
  </si>
  <si>
    <t>A</t>
  </si>
  <si>
    <t>Sécurité salubrité/Autonomie</t>
  </si>
  <si>
    <t>Remplacement d'un foyer ouvert ou foyers fermés d'avant 2002 + parrainage</t>
  </si>
  <si>
    <t>Mademoiselle</t>
  </si>
  <si>
    <t>De 2 à 15 ans</t>
  </si>
  <si>
    <t>Couple sans enfant</t>
  </si>
  <si>
    <t>Travaux pour l'autonomie de la personnes</t>
  </si>
  <si>
    <t>R ≥ P exigée et écologique</t>
  </si>
  <si>
    <t>Propane</t>
  </si>
  <si>
    <t>B</t>
  </si>
  <si>
    <t>Réhabilitation/Performances énergétiques/RSD/Transformation</t>
  </si>
  <si>
    <t>Plus de 15 ans</t>
  </si>
  <si>
    <t>Couple avec enfant(s)</t>
  </si>
  <si>
    <t>Travaux de lutte contre la précarité énergétique</t>
  </si>
  <si>
    <t xml:space="preserve"> </t>
  </si>
  <si>
    <t>Fioul</t>
  </si>
  <si>
    <t>C</t>
  </si>
  <si>
    <t>Avant 2000</t>
  </si>
  <si>
    <t>Travaux pour réhabiliter un logement dégradé</t>
  </si>
  <si>
    <t>Bois bûches</t>
  </si>
  <si>
    <t>Avant 1974</t>
  </si>
  <si>
    <t>Travaux d’amélioration des performances énergétiques</t>
  </si>
  <si>
    <t>Bois granûlés</t>
  </si>
  <si>
    <t>Travaux à la suite d’une procédure RSD ou d’un contrôle de décence</t>
  </si>
  <si>
    <t>Transformation d’usage (si prioritaire)</t>
  </si>
  <si>
    <t>Matrice des graphiques</t>
  </si>
  <si>
    <t>Changement NRJ</t>
  </si>
  <si>
    <t>Coût total</t>
  </si>
  <si>
    <t>Coût travaux</t>
  </si>
  <si>
    <t>Année</t>
  </si>
  <si>
    <t>Prix de l'énergie initiale</t>
  </si>
  <si>
    <t>Evolution</t>
  </si>
  <si>
    <t>Prix énergie finale</t>
  </si>
  <si>
    <t>Sans travaux</t>
  </si>
  <si>
    <t>Moyenne</t>
  </si>
  <si>
    <t>Cumulé</t>
  </si>
  <si>
    <t>Avec travaux</t>
  </si>
  <si>
    <t>Economies</t>
  </si>
  <si>
    <t>cumulé</t>
  </si>
  <si>
    <t>cout ECO PTZ</t>
  </si>
  <si>
    <t>Coût prêt</t>
  </si>
  <si>
    <t>Théorique</t>
  </si>
  <si>
    <t>Projeté</t>
  </si>
  <si>
    <t>N</t>
  </si>
  <si>
    <t>N+1</t>
  </si>
  <si>
    <t>N+2</t>
  </si>
  <si>
    <t>N+3</t>
  </si>
  <si>
    <t>N+4</t>
  </si>
  <si>
    <t>N+5</t>
  </si>
  <si>
    <t>N+6</t>
  </si>
  <si>
    <t>N+7</t>
  </si>
  <si>
    <t>N+8</t>
  </si>
  <si>
    <t>N+9</t>
  </si>
  <si>
    <t>N+10</t>
  </si>
  <si>
    <t>N+11</t>
  </si>
  <si>
    <t>N+12</t>
  </si>
  <si>
    <t>N+13</t>
  </si>
  <si>
    <t>N+14</t>
  </si>
  <si>
    <t>N+15</t>
  </si>
  <si>
    <t>N+16</t>
  </si>
  <si>
    <t>N+17</t>
  </si>
  <si>
    <t>N+18</t>
  </si>
  <si>
    <t>N+19</t>
  </si>
  <si>
    <t>N+20</t>
  </si>
  <si>
    <t>Ville</t>
  </si>
  <si>
    <t>Code postale</t>
  </si>
  <si>
    <t>Population (2017)</t>
  </si>
  <si>
    <t>Zonage</t>
  </si>
  <si>
    <t>Loyer intermédiaire</t>
  </si>
  <si>
    <t>Loyer social</t>
  </si>
  <si>
    <t>Loyer très social</t>
  </si>
  <si>
    <t>Plafond de revenus des locataires</t>
  </si>
  <si>
    <t>Plafond loyers 2020  \ Zonage</t>
  </si>
  <si>
    <t>B1</t>
  </si>
  <si>
    <t>B2</t>
  </si>
  <si>
    <t>Grille de taux par défaut applicable aux contribuables domiciliés en métropole en 2019</t>
  </si>
  <si>
    <t>Bagnolet</t>
  </si>
  <si>
    <t> Secteur intermédiaire</t>
  </si>
  <si>
    <t>Base mensuelle de prélèvement 2019</t>
  </si>
  <si>
    <t>Taux applicable</t>
  </si>
  <si>
    <t>Bobigny</t>
  </si>
  <si>
    <t> Secteur social</t>
  </si>
  <si>
    <t>Inférieure à 1 404 €</t>
  </si>
  <si>
    <t>Bondy</t>
  </si>
  <si>
    <t> Secteur très social</t>
  </si>
  <si>
    <t> 6,29</t>
  </si>
  <si>
    <t>Supérieure ou égale à 1 404 € et inférieure à 1 457 €</t>
  </si>
  <si>
    <t>Bry-sur-Marne</t>
  </si>
  <si>
    <t>Supérieure ou égale à 1 457 € et inférieure à 1 551 €</t>
  </si>
  <si>
    <t>Champigny-sur-Marne</t>
  </si>
  <si>
    <t>Plafonds de revenu 2020    \  Zonage</t>
  </si>
  <si>
    <t>B2 et C</t>
  </si>
  <si>
    <t>Supérieure ou égale à 1 551 € et inférieure à 1 656 €</t>
  </si>
  <si>
    <t>Charenton-le-Pont</t>
  </si>
  <si>
    <t>Personne seule</t>
  </si>
  <si>
    <t>Supérieure ou égale à 1 656 € et inférieure à 1 769 €</t>
  </si>
  <si>
    <t>Clichy-sous-Bois</t>
  </si>
  <si>
    <t>Couple</t>
  </si>
  <si>
    <t>Supérieure ou égale à 1 769 € et inférieure à 1 864 €</t>
  </si>
  <si>
    <t>Coubron</t>
  </si>
  <si>
    <t>Personne seule ou couple avec une personne à charge</t>
  </si>
  <si>
    <t>Supérieure ou égale à 1 864 € et inférieure à 1 988 €</t>
  </si>
  <si>
    <t>Fontenay-sous-Bois</t>
  </si>
  <si>
    <t>Personne seule ou couple avec deux personnes à charge</t>
  </si>
  <si>
    <t>Supérieure ou égale à 1 988 € et inférieure à 2 578 €</t>
  </si>
  <si>
    <t>Gagny</t>
  </si>
  <si>
    <t>Personne seule ou couple avec trois personnes à charge</t>
  </si>
  <si>
    <t>Supérieure ou égale à 2 578 € et inférieure à 2 797 €</t>
  </si>
  <si>
    <t>Gournay-sur-Marne</t>
  </si>
  <si>
    <t>Personne seule ou couple avec quatre personne à charge</t>
  </si>
  <si>
    <t>Supérieure ou égale à 2 797 € et inférieure à 3 067 €</t>
  </si>
  <si>
    <t>Joinville-le-Pont</t>
  </si>
  <si>
    <t>Majoration par personne à charge à partir de la cinquième</t>
  </si>
  <si>
    <t>Supérieure ou égale à 3 067 € et inférieure à 3 452 €</t>
  </si>
  <si>
    <t>Le Perreux-sur-Marne</t>
  </si>
  <si>
    <t>Index ligne compo famille</t>
  </si>
  <si>
    <t>Supérieure ou égale à 3 452 € et inférieure à 4 029 €</t>
  </si>
  <si>
    <t>Le Pré-Saint-Gervais</t>
  </si>
  <si>
    <t>Supérieure ou égale à 4 029 € et inférieure à 4 830 €</t>
  </si>
  <si>
    <t>Le Raincy</t>
  </si>
  <si>
    <t>Supérieure ou égale à 4 830 € et inférieure à 6 043 €</t>
  </si>
  <si>
    <t>Les Lilas</t>
  </si>
  <si>
    <t>Supérieure ou égale à 6 043 € et inférieure à 7 780 €</t>
  </si>
  <si>
    <t>Les Pavillons-sous-Bois</t>
  </si>
  <si>
    <t>Supérieure ou égale à 7 780 € et inférieure à 10 562 €</t>
  </si>
  <si>
    <t>Livry-Gargan</t>
  </si>
  <si>
    <t>Supérieure ou égale à 10 562 € et inférieure à 14 795 €</t>
  </si>
  <si>
    <t>Maisons-Alfort</t>
  </si>
  <si>
    <t>Supérieure ou égale à 14 795 € et inférieure à 22 620 €</t>
  </si>
  <si>
    <t>Montfermeil</t>
  </si>
  <si>
    <t>Supérieure ou égale à 22 620 € et inférieure à 47 717 €</t>
  </si>
  <si>
    <t>Montreuil</t>
  </si>
  <si>
    <t>Supérieure ou égale à 47 717 €</t>
  </si>
  <si>
    <t>Neuilly-Plaisance</t>
  </si>
  <si>
    <t>Neuilly-sur-Marne</t>
  </si>
  <si>
    <t>Nogent-sur-Marne</t>
  </si>
  <si>
    <t>Noisy-le-Grand</t>
  </si>
  <si>
    <t>Noisy-le-Sec</t>
  </si>
  <si>
    <t>Pantin</t>
  </si>
  <si>
    <t>Romainville</t>
  </si>
  <si>
    <t>Rosny-sous-Bois</t>
  </si>
  <si>
    <t>Saint-Mandé</t>
  </si>
  <si>
    <t>Saint-Maur-des-Fossés</t>
  </si>
  <si>
    <t>Saint-Maurice</t>
  </si>
  <si>
    <t>Vaujours</t>
  </si>
  <si>
    <t>Villemomble</t>
  </si>
  <si>
    <t>Villiers-sur-Marne</t>
  </si>
  <si>
    <t>Vincennes</t>
  </si>
  <si>
    <t>Matrices de calculs des aides financières</t>
  </si>
  <si>
    <t xml:space="preserve">PLAFOND DE RESSOURCE </t>
  </si>
  <si>
    <t>Classe énergétique</t>
  </si>
  <si>
    <t>Nombre de personnes composant le ménage</t>
  </si>
  <si>
    <t>Très modestes</t>
  </si>
  <si>
    <t>Modestes</t>
  </si>
  <si>
    <t>Intermédiaires</t>
  </si>
  <si>
    <t>Supérieurs</t>
  </si>
  <si>
    <t>Perf. Énergie max</t>
  </si>
  <si>
    <t>&gt; 38 184 €</t>
  </si>
  <si>
    <t>&gt; 56 130 €</t>
  </si>
  <si>
    <t>&gt; 67 585 €</t>
  </si>
  <si>
    <t>&gt; 79 041 €</t>
  </si>
  <si>
    <t>D</t>
  </si>
  <si>
    <t>&gt; 90 496 €</t>
  </si>
  <si>
    <t>E</t>
  </si>
  <si>
    <t>&gt; 101 951 €</t>
  </si>
  <si>
    <t>F</t>
  </si>
  <si>
    <t>&gt; 113 406 €</t>
  </si>
  <si>
    <t>G</t>
  </si>
  <si>
    <t>&gt; 450 kWh/m².an</t>
  </si>
  <si>
    <t>&gt; 124 861 €</t>
  </si>
  <si>
    <t>&gt; 136 316 €</t>
  </si>
  <si>
    <t>&gt; 147 771 €</t>
  </si>
  <si>
    <t>Aide régionale fond Air-Bois</t>
  </si>
  <si>
    <t>Montant travaux</t>
  </si>
  <si>
    <t>Critère</t>
  </si>
  <si>
    <t>Montant d'aide éligible</t>
  </si>
  <si>
    <t>Montant de la subvention</t>
  </si>
  <si>
    <t>Habiter Mieux</t>
  </si>
  <si>
    <t>Total des autres aides mobilisables</t>
  </si>
  <si>
    <t>Classement</t>
  </si>
  <si>
    <t>MA PRIMRENOV'</t>
  </si>
  <si>
    <t>CEE</t>
  </si>
  <si>
    <t>AIDES LOCALES MONTREUIL</t>
  </si>
  <si>
    <t>AIDE REGIONALE</t>
  </si>
  <si>
    <t>CUMUL DES AIDES POUR ECRÊTEMENT MPR</t>
  </si>
  <si>
    <t>Liste des forfaits</t>
  </si>
  <si>
    <t>MONTANTS DES PRIMES POUR DES TRAVAUX RÉALISÉS DE FAÇON INDIVIDUELLE</t>
  </si>
  <si>
    <t>Plafonds de dépenses éligibles</t>
  </si>
  <si>
    <t>Montant d'aide applicable avant écrêtement</t>
  </si>
  <si>
    <t>Montant d'aide applicable</t>
  </si>
  <si>
    <t>Taux de subvention</t>
  </si>
  <si>
    <t>Plafonds</t>
  </si>
  <si>
    <t>Montant</t>
  </si>
  <si>
    <t>Coup de pouce</t>
  </si>
  <si>
    <t>Aide locale</t>
  </si>
  <si>
    <t>Aide régionale</t>
  </si>
  <si>
    <t>Plafonds d'aides cumulées</t>
  </si>
  <si>
    <t>Montant d'aide total</t>
  </si>
  <si>
    <t>Reste à  financer</t>
  </si>
  <si>
    <t>MPR écrêtée</t>
  </si>
  <si>
    <t>Gain énergétique par poste</t>
  </si>
  <si>
    <t>économie d'énergie</t>
  </si>
  <si>
    <t>Gain corrigé</t>
  </si>
  <si>
    <t>Economie corrigée</t>
  </si>
  <si>
    <t>Gain énergétique</t>
  </si>
  <si>
    <t>PAC géothermique, capteurs horizontaux et verticaux</t>
  </si>
  <si>
    <t>Chaudière à granulés</t>
  </si>
  <si>
    <t>Chauffage solaire combiné</t>
  </si>
  <si>
    <t>Chaudière à bûches</t>
  </si>
  <si>
    <t>PAC air/eau</t>
  </si>
  <si>
    <t>Raccordement aux réseaux de chaleur et/ou de froid</t>
  </si>
  <si>
    <t>Ventilation double flux</t>
  </si>
  <si>
    <t>Ventilation simple flux</t>
  </si>
  <si>
    <t>Poêles à granulés, cuisinières à granulés</t>
  </si>
  <si>
    <t>Poêle à bûches, cuisinières à bûches</t>
  </si>
  <si>
    <t>Partie thermique d’un équipement PVT eau</t>
  </si>
  <si>
    <t>Foyer fermé, insert, à bûches ou granulés</t>
  </si>
  <si>
    <t>Chaudières gaz à très haute performance énergétique</t>
  </si>
  <si>
    <t>Dépose de cuve à fioul</t>
  </si>
  <si>
    <t xml:space="preserve">Chauffe-eau solaire </t>
  </si>
  <si>
    <t>Chauffe-eau thermodynamique</t>
  </si>
  <si>
    <t>Isolation des murs par l’extérieur (100m² max)</t>
  </si>
  <si>
    <t>Isolation des murs par l’intérieur</t>
  </si>
  <si>
    <t>Isolation de toitures terrasses</t>
  </si>
  <si>
    <t>Isolation des rampants de toiture / plafonds de combles)</t>
  </si>
  <si>
    <t>Isolation des combles perdues</t>
  </si>
  <si>
    <t>Isolation des planchers bas sur sous-sol, vide sanitaire ou passage ouvert</t>
  </si>
  <si>
    <t>Isolation thermique des parois vitrées (en remplacement de simple vitrage, critères actuels)</t>
  </si>
  <si>
    <t>Audit énergétique</t>
  </si>
  <si>
    <t xml:space="preserve">Total poste isolation </t>
  </si>
  <si>
    <t>Radiateur électrique performant (en remplacement d'anciens convecteurs électriques</t>
  </si>
  <si>
    <t>Total poste chauffage</t>
  </si>
  <si>
    <t xml:space="preserve">Installation d’un thermostat programmable sur un système de chauffage individuel existant </t>
  </si>
  <si>
    <t>Total poste solaire thermique</t>
  </si>
  <si>
    <t>Conduit d'évacuation des fumées d'une chaudière indiv. à condensation (immeuble collectif)</t>
  </si>
  <si>
    <t>Forfait « Rénovation globale » / Prime "coup de pouce rénovation globale"</t>
  </si>
  <si>
    <t>Forfait « Bonus pour les travaux permettant de sortir du statut de passoire énergétique »</t>
  </si>
  <si>
    <t>Forfait « Bonus Bâtiment Basse Consommation »</t>
  </si>
  <si>
    <t>Plafond d'aides cumulables sur 5 ans</t>
  </si>
  <si>
    <t>Plafond de subvention (cumul MPR, CEE et aides d'Action Logement)</t>
  </si>
  <si>
    <t>TOTAL</t>
  </si>
  <si>
    <t>ECO-PRÊT A TAUX ZERO</t>
  </si>
  <si>
    <t>Listes des travaux éligibles</t>
  </si>
  <si>
    <t>Travaux unique</t>
  </si>
  <si>
    <t>2 travaux</t>
  </si>
  <si>
    <t>3 travaux et plus</t>
  </si>
  <si>
    <t>Durée max.</t>
  </si>
  <si>
    <t xml:space="preserve">Performance globale </t>
  </si>
  <si>
    <t>Isolation thermique de l'ensemble de la toiture</t>
  </si>
  <si>
    <t>Isolation thermique des murs donnant sur l'extérieur (au moins 50 % des surfaces)</t>
  </si>
  <si>
    <t>Durée max</t>
  </si>
  <si>
    <t>Isolation thermique des fenêtres à la condition que les matériaux utilisés viennent remplacer des parois en simple vitrage (au moins la moitié des fenêtres) et portes donnant sur l'extérieur (au moins la moitié des portes)</t>
  </si>
  <si>
    <t xml:space="preserve">CEP max </t>
  </si>
  <si>
    <t>Isolation des planchers bas sur sous-sol, vide sanitaire ou passage ouvert (100 % des surfaces)</t>
  </si>
  <si>
    <t>Installation, régulation ou remplacement de systèmes de chauffage ou de production d'eau chaude sanitaire</t>
  </si>
  <si>
    <t>Installation d'équipements de chauffage utilisant une source d'énergie renouvelable</t>
  </si>
  <si>
    <t>Installation d'équipements de production d'eau chaude sanitaire utilisant une source d'énergie renouvelable</t>
  </si>
  <si>
    <t>SUBVENTION HABITER MIEUX</t>
  </si>
  <si>
    <t>ANAH pour PO</t>
  </si>
  <si>
    <t>Plafond de dépenses</t>
  </si>
  <si>
    <t>Prime Habiter Mieux</t>
  </si>
  <si>
    <t>Prime AMO</t>
  </si>
  <si>
    <t>CD 94</t>
  </si>
  <si>
    <t>Ingénierie</t>
  </si>
  <si>
    <t>Montant de la subvention totale</t>
  </si>
  <si>
    <t>Montant d'aide pour l'AMO</t>
  </si>
  <si>
    <t>Montant de la subvention (hors prime et aides locales)</t>
  </si>
  <si>
    <t>Montant travaux éligible</t>
  </si>
  <si>
    <t>ANAH pour PB</t>
  </si>
  <si>
    <t>Plafond de dépenses (€)</t>
  </si>
  <si>
    <t>Plafond d'aide €HT/m²</t>
  </si>
  <si>
    <t>Montant de la subvention (hors prime)</t>
  </si>
  <si>
    <t>ANAH pour copropriétaire</t>
  </si>
  <si>
    <t>Module sur les aides financères en copriopriété non intégré</t>
  </si>
  <si>
    <t>CRITERES D'ELIGIBILITE</t>
  </si>
  <si>
    <t>MaPrimeRénov</t>
  </si>
  <si>
    <t>Ancienneté du logement</t>
  </si>
  <si>
    <t>2 ans</t>
  </si>
  <si>
    <t>PB engagement de mise en location</t>
  </si>
  <si>
    <t>5 ans</t>
  </si>
  <si>
    <t>Bonus BBC - Audit énergétique obligatoire avant travaux avec dépôt des pièce avant et après travaux</t>
  </si>
  <si>
    <t>Classe A ou B</t>
  </si>
  <si>
    <t>Bonus sortie passeoire thermique - Audit énergétique obligatoire avant travaux avec dépôt des pièce avant et après travaux</t>
  </si>
  <si>
    <t>Logement classe F ou G</t>
  </si>
  <si>
    <t xml:space="preserve">2 ans </t>
  </si>
  <si>
    <t>MI - Coup de pouce rénovation globale - Gain énergétique minimale</t>
  </si>
  <si>
    <t>Copro - Coup de pouce rénovation globale - Gain énergétique minimale</t>
  </si>
  <si>
    <t>Chaleur renouvelable</t>
  </si>
  <si>
    <t>&gt;=40%</t>
  </si>
  <si>
    <t>Remplacement chaudière charbon ou fioul (hors condensation)</t>
  </si>
  <si>
    <t>15 ans</t>
  </si>
  <si>
    <t>PTZ au cours des 5 dernières années</t>
  </si>
  <si>
    <t>PO - Revenus modestes</t>
  </si>
  <si>
    <t>PO - Revenus très modestes</t>
  </si>
  <si>
    <t>PO - Gain énergétique minimale</t>
  </si>
  <si>
    <t>PO - Majoration de la subvention - Gain énerétique</t>
  </si>
  <si>
    <t>PO - Majoration de la subvention - Saut de classe énergétique</t>
  </si>
  <si>
    <t>2 étiquettes</t>
  </si>
  <si>
    <t>PO - Majoration de la subvention - Passeoire thermique</t>
  </si>
  <si>
    <t>PB - Engagement de mise en location</t>
  </si>
  <si>
    <t>9 ans</t>
  </si>
  <si>
    <t>PB - Gain énergétique minimal</t>
  </si>
  <si>
    <t>PB - Etiquette minimale</t>
  </si>
  <si>
    <t>PB - Plafond loyer</t>
  </si>
  <si>
    <t>PB - Plafond revenus locataires</t>
  </si>
  <si>
    <t xml:space="preserve">Aides de Montreuil </t>
  </si>
  <si>
    <t>PO - Plafond de ressources</t>
  </si>
  <si>
    <t>PO - Date limite de construction</t>
  </si>
  <si>
    <t>&lt;2000</t>
  </si>
  <si>
    <t>Fond Air-Bois régional</t>
  </si>
  <si>
    <t>Statut d'occupation</t>
  </si>
  <si>
    <t xml:space="preserve">Ancienneté du logement </t>
  </si>
  <si>
    <t>&gt; 2 ans</t>
  </si>
  <si>
    <t>IMPOTS ET TAXE</t>
  </si>
  <si>
    <t>Taux d'imposition à appliquer sur la tranche correspondante (ou tranche marginale d'imposition)</t>
  </si>
  <si>
    <t>Tranches supérieures de revenus annuels net imposables</t>
  </si>
  <si>
    <t>Montant des impôts selon la tranche marginale d'imposition</t>
  </si>
  <si>
    <t>Revenu annuel net imposable / parts fiscales</t>
  </si>
  <si>
    <t>Revenu annuel net imposable / parts fiscales avec loyer libre</t>
  </si>
  <si>
    <t>Revenu annuel net imposable / parts fiscales avec conventionnement LI</t>
  </si>
  <si>
    <t>Revenu annuel net imposable / parts fiscales avec conventionnement LS</t>
  </si>
  <si>
    <t>Revenu annuel net imposable / parts fiscales avec conventionnement LTS</t>
  </si>
  <si>
    <t>Revenu annuel net imposable / parts fiscales avec intermédiation locative</t>
  </si>
  <si>
    <t>Populations légales des communes en vigueur au 1er janvier 2020</t>
  </si>
  <si>
    <t>Date de référence statistique : 1er janvier 2017</t>
  </si>
  <si>
    <t>Taxes</t>
  </si>
  <si>
    <t>Mise à jour : décembre 2019</t>
  </si>
  <si>
    <t>Champ : Département de la Seine-Saint-Denis, limites territoriales en vigueur au 1er janvier 2019</t>
  </si>
  <si>
    <t>Source : Insee, Recensement de la population 2017</t>
  </si>
  <si>
    <t>Code région</t>
  </si>
  <si>
    <t>Nom de la région</t>
  </si>
  <si>
    <t>Code département</t>
  </si>
  <si>
    <t>Code arrondissement</t>
  </si>
  <si>
    <t>Code canton</t>
  </si>
  <si>
    <t>Code commune</t>
  </si>
  <si>
    <t>Nom de la commune</t>
  </si>
  <si>
    <t>Population municipale</t>
  </si>
  <si>
    <t>Population comptée à part</t>
  </si>
  <si>
    <t>Population totale</t>
  </si>
  <si>
    <t>CP</t>
  </si>
  <si>
    <t>EPT</t>
  </si>
  <si>
    <t>TX TFPB</t>
  </si>
  <si>
    <t>tx synd</t>
  </si>
  <si>
    <t>tx EPCI</t>
  </si>
  <si>
    <t>tx dept</t>
  </si>
  <si>
    <t>tx TSE (taxe spécial d'équipement)</t>
  </si>
  <si>
    <t>Tx TASA (taxe additionnel spécial annuel) (spé IdF)</t>
  </si>
  <si>
    <t>tx TEOM (ordure ménagère)</t>
  </si>
  <si>
    <t>Lref retenu  base 70</t>
  </si>
  <si>
    <t>Lref base 80</t>
  </si>
  <si>
    <t>Lref base 2017</t>
  </si>
  <si>
    <t>11</t>
  </si>
  <si>
    <t>Île-de-France</t>
  </si>
  <si>
    <t>93</t>
  </si>
  <si>
    <t>3</t>
  </si>
  <si>
    <t>01</t>
  </si>
  <si>
    <t>Aubervilliers</t>
  </si>
  <si>
    <t>T6</t>
  </si>
  <si>
    <t>2</t>
  </si>
  <si>
    <t>02</t>
  </si>
  <si>
    <t>Aulnay-sous-Bois</t>
  </si>
  <si>
    <t>T7</t>
  </si>
  <si>
    <t>1</t>
  </si>
  <si>
    <t>03</t>
  </si>
  <si>
    <t>T8</t>
  </si>
  <si>
    <t>04</t>
  </si>
  <si>
    <t>Le Blanc-Mesnil</t>
  </si>
  <si>
    <t>95</t>
  </si>
  <si>
    <t>06</t>
  </si>
  <si>
    <t>07</t>
  </si>
  <si>
    <t>Le Bourget</t>
  </si>
  <si>
    <t>T9</t>
  </si>
  <si>
    <t>20</t>
  </si>
  <si>
    <t>La Courneuve</t>
  </si>
  <si>
    <t>96</t>
  </si>
  <si>
    <t>Drancy</t>
  </si>
  <si>
    <t>Dugny</t>
  </si>
  <si>
    <t>97</t>
  </si>
  <si>
    <t>Épinay-sur-Seine</t>
  </si>
  <si>
    <t>10</t>
  </si>
  <si>
    <t>14</t>
  </si>
  <si>
    <t>18</t>
  </si>
  <si>
    <t>L' Île-Saint-Denis</t>
  </si>
  <si>
    <t>98</t>
  </si>
  <si>
    <t>21</t>
  </si>
  <si>
    <t>05</t>
  </si>
  <si>
    <t>15</t>
  </si>
  <si>
    <t>09</t>
  </si>
  <si>
    <t>Pierrefitte-sur-Seine</t>
  </si>
  <si>
    <t>12</t>
  </si>
  <si>
    <t>99</t>
  </si>
  <si>
    <t>Saint-Denis</t>
  </si>
  <si>
    <t>Saint-Ouen-sur-Seine</t>
  </si>
  <si>
    <t>19</t>
  </si>
  <si>
    <t>Sevran</t>
  </si>
  <si>
    <t>17</t>
  </si>
  <si>
    <t>Stains</t>
  </si>
  <si>
    <t>Tremblay-en-France</t>
  </si>
  <si>
    <t>Villepinte</t>
  </si>
  <si>
    <t>Villetaneuse</t>
  </si>
  <si>
    <t>94</t>
  </si>
  <si>
    <t>Ablon-sur-Seine</t>
  </si>
  <si>
    <t>T12</t>
  </si>
  <si>
    <t>Alfortville</t>
  </si>
  <si>
    <t>T11</t>
  </si>
  <si>
    <t>Arcueil</t>
  </si>
  <si>
    <t>16</t>
  </si>
  <si>
    <t>Boissy-Saint-Léger</t>
  </si>
  <si>
    <t>Bonneuil-sur-Marne</t>
  </si>
  <si>
    <t>22</t>
  </si>
  <si>
    <t>T10</t>
  </si>
  <si>
    <t>Cachan</t>
  </si>
  <si>
    <t>Chennevières-sur-Marne</t>
  </si>
  <si>
    <t>Chevilly-Larue</t>
  </si>
  <si>
    <t>Choisy-le-Roi</t>
  </si>
  <si>
    <t>Créteil</t>
  </si>
  <si>
    <t>Fresnes</t>
  </si>
  <si>
    <t>Gentilly</t>
  </si>
  <si>
    <t>L' Haÿ-les-Roses</t>
  </si>
  <si>
    <t>Ivry-sur-Seine</t>
  </si>
  <si>
    <t>Le Kremlin-Bicêtre</t>
  </si>
  <si>
    <t>Limeil-Brévannes</t>
  </si>
  <si>
    <t>13</t>
  </si>
  <si>
    <t>Mandres-les-Roses</t>
  </si>
  <si>
    <t>Marolles-en-Brie</t>
  </si>
  <si>
    <t>Noiseau</t>
  </si>
  <si>
    <t>Orly</t>
  </si>
  <si>
    <t>Ormesson-sur-Marne</t>
  </si>
  <si>
    <t>Périgny</t>
  </si>
  <si>
    <t>Le Plessis-Trévise</t>
  </si>
  <si>
    <t>La Queue-en-Brie</t>
  </si>
  <si>
    <t>Rungis</t>
  </si>
  <si>
    <t>23</t>
  </si>
  <si>
    <t>Santeny</t>
  </si>
  <si>
    <t>Sucy-en-Brie</t>
  </si>
  <si>
    <t>Thiais</t>
  </si>
  <si>
    <t>Valenton</t>
  </si>
  <si>
    <t>Villecresnes</t>
  </si>
  <si>
    <t>Villejuif</t>
  </si>
  <si>
    <t>Villeneuve-le-Roi</t>
  </si>
  <si>
    <t>Villeneuve-Saint-Georges</t>
  </si>
  <si>
    <t>Vitry-sur-Seine</t>
  </si>
  <si>
    <t>catégorie de revenus</t>
  </si>
  <si>
    <t>plafond cumul aides</t>
  </si>
  <si>
    <t>PAC air/air</t>
  </si>
  <si>
    <t>PAC Air/Air</t>
  </si>
  <si>
    <t>CUMUL
MPR-CEE</t>
  </si>
  <si>
    <t>vérification 
plafond cumul MPR / CEE</t>
  </si>
  <si>
    <t>vs</t>
  </si>
  <si>
    <t>Unité</t>
  </si>
  <si>
    <t>Nombre</t>
  </si>
  <si>
    <t>Quantité</t>
  </si>
  <si>
    <t>surface (m²)</t>
  </si>
  <si>
    <t>Coût indicatif unitaire TTC</t>
  </si>
  <si>
    <t>Audit</t>
  </si>
  <si>
    <t>Cep avant travaux (KwhEp/m²/an)</t>
  </si>
  <si>
    <t>Cep après travaux (KwhEp/m²/an)</t>
  </si>
  <si>
    <t>Economie en MWhEP/an</t>
  </si>
  <si>
    <t> Situation d’arrivée</t>
  </si>
  <si>
    <t>Autres</t>
  </si>
  <si>
    <t>Projet</t>
  </si>
  <si>
    <t>cout poste travaux 
TTC</t>
  </si>
  <si>
    <t>CEE - tout sauf élec</t>
  </si>
  <si>
    <t>CEE - élec</t>
  </si>
  <si>
    <t>MaPrimeRénov Sérénité</t>
  </si>
  <si>
    <t>CEP &gt;=  à 110 kWh/m² 
après travaux</t>
  </si>
  <si>
    <t>CEP =&lt;  à 110 kWh/m² ap. travaux</t>
  </si>
  <si>
    <t>Très Modestes (bleus)</t>
  </si>
  <si>
    <t>350 €/MWh /an</t>
  </si>
  <si>
    <t>300 €/MWh/an</t>
  </si>
  <si>
    <t> 250 €/MWh/an</t>
  </si>
  <si>
    <t>200 €/MWh/an</t>
  </si>
  <si>
    <t>màj 01/01/2022</t>
  </si>
  <si>
    <t>https://www.ecologie.gouv.fr/coup-pouce-renovation-performante-dune-maison-individuelle</t>
  </si>
  <si>
    <t xml:space="preserve">montant unitaire MPR </t>
  </si>
  <si>
    <t xml:space="preserve">montant  MPR </t>
  </si>
  <si>
    <t>Surface habitable (m²)</t>
  </si>
  <si>
    <t>ne pas effacer la ligne</t>
  </si>
  <si>
    <t>Autres travaux: Ventilation VMR</t>
  </si>
  <si>
    <t>Les champs gris sont des formules automatiques - ne pas les modifier !</t>
  </si>
  <si>
    <r>
      <t xml:space="preserve">Champ </t>
    </r>
    <r>
      <rPr>
        <b/>
        <sz val="11"/>
        <color theme="1"/>
        <rFont val="Calibri"/>
        <family val="2"/>
        <scheme val="minor"/>
      </rPr>
      <t>Information générales:</t>
    </r>
    <r>
      <rPr>
        <sz val="11"/>
        <color theme="1"/>
        <rFont val="Calibri"/>
        <family val="2"/>
        <scheme val="minor"/>
      </rPr>
      <t xml:space="preserve">
Compléter tous les champs du premier cadre en haut à droite (hors champ gris)</t>
    </r>
  </si>
  <si>
    <r>
      <t xml:space="preserve">Renseigner dans le tableau les travaux concernés en renseignant la colonne </t>
    </r>
    <r>
      <rPr>
        <b/>
        <sz val="11"/>
        <color theme="1"/>
        <rFont val="Calibri"/>
        <family val="2"/>
        <scheme val="minor"/>
      </rPr>
      <t>Quantité.
Laisser 0 pour les postes non envisagés.</t>
    </r>
  </si>
  <si>
    <r>
      <t xml:space="preserve">Si les coûts exacts sont connus par des devis, entrer directment le </t>
    </r>
    <r>
      <rPr>
        <b/>
        <sz val="11"/>
        <color theme="1"/>
        <rFont val="Calibri"/>
        <family val="2"/>
        <scheme val="minor"/>
      </rPr>
      <t xml:space="preserve">cout TTC </t>
    </r>
    <r>
      <rPr>
        <sz val="11"/>
        <color theme="1"/>
        <rFont val="Calibri"/>
        <family val="2"/>
        <scheme val="minor"/>
      </rPr>
      <t xml:space="preserve">dans la colonne </t>
    </r>
    <r>
      <rPr>
        <b/>
        <sz val="11"/>
        <color theme="1"/>
        <rFont val="Calibri"/>
        <family val="2"/>
        <scheme val="minor"/>
      </rPr>
      <t>Cout Poste Travaux TTC</t>
    </r>
  </si>
  <si>
    <t>Informations générales</t>
  </si>
  <si>
    <t>chauffage principal actuel</t>
  </si>
  <si>
    <t>MPR Sérénité jaune
35% du cout HT 
(si gain 35%)</t>
  </si>
  <si>
    <t>MPR rénovation global (55%)</t>
  </si>
  <si>
    <t xml:space="preserve">Le projet comprend-il au moins un geste d’isolation couvrant minimum 75% de la surface totale à isoler ? </t>
  </si>
  <si>
    <t>Accessible CEE renovation global ? (35% ou 55%)</t>
  </si>
  <si>
    <t>Montant de Valorisation Coup de pouce CEE</t>
  </si>
  <si>
    <r>
      <t xml:space="preserve">Pour information: Regarder la colonne </t>
    </r>
    <r>
      <rPr>
        <b/>
        <sz val="11"/>
        <color theme="1"/>
        <rFont val="Calibri"/>
        <family val="2"/>
        <scheme val="minor"/>
      </rPr>
      <t>Vérification Cumul plafond MPR/</t>
    </r>
    <r>
      <rPr>
        <sz val="11"/>
        <color theme="1"/>
        <rFont val="Calibri"/>
        <family val="2"/>
        <scheme val="minor"/>
      </rPr>
      <t>CEE.</t>
    </r>
    <r>
      <rPr>
        <b/>
        <sz val="11"/>
        <color theme="1"/>
        <rFont val="Calibri"/>
        <family val="2"/>
        <scheme val="minor"/>
      </rPr>
      <t xml:space="preserve">
Fermer ensuite ce plan de groupement </t>
    </r>
    <r>
      <rPr>
        <sz val="11"/>
        <color theme="1"/>
        <rFont val="Calibri"/>
        <family val="2"/>
        <scheme val="minor"/>
      </rPr>
      <t>pour alléger le tableau</t>
    </r>
    <r>
      <rPr>
        <b/>
        <sz val="11"/>
        <color theme="1"/>
        <rFont val="Calibri"/>
        <family val="2"/>
        <scheme val="minor"/>
      </rPr>
      <t xml:space="preserve">. 
</t>
    </r>
    <r>
      <rPr>
        <sz val="11"/>
        <color theme="1"/>
        <rFont val="Calibri"/>
        <family val="2"/>
        <scheme val="minor"/>
      </rPr>
      <t xml:space="preserve">La colonne </t>
    </r>
    <r>
      <rPr>
        <b/>
        <sz val="11"/>
        <color theme="1"/>
        <rFont val="Calibri"/>
        <family val="2"/>
        <scheme val="minor"/>
      </rPr>
      <t>CUMUL MPR- CEE prend déjà le plafond en compte dans le calcul</t>
    </r>
  </si>
  <si>
    <t>&gt;=55%</t>
  </si>
  <si>
    <t>&gt;=35%</t>
  </si>
  <si>
    <t>tous</t>
  </si>
  <si>
    <t>90 €/MWh/an</t>
  </si>
  <si>
    <t>Travaux de rénovation globale BAR TH-164</t>
  </si>
  <si>
    <t>Forfait global</t>
  </si>
  <si>
    <t>Cumul par poste MPR + CEE</t>
  </si>
  <si>
    <t>condition Coup de pouce CEE 55%</t>
  </si>
  <si>
    <t>Ouvrir tous les plans de groupement vertical et horizontal (cases 2 ou 3 )</t>
  </si>
  <si>
    <r>
      <t xml:space="preserve">Sélectionner le filtre de la colonne </t>
    </r>
    <r>
      <rPr>
        <b/>
        <sz val="11"/>
        <color theme="1"/>
        <rFont val="Calibri"/>
        <family val="2"/>
        <scheme val="minor"/>
      </rPr>
      <t xml:space="preserve">Quantité
Décochez la valeur 0 
</t>
    </r>
    <r>
      <rPr>
        <sz val="11"/>
        <color theme="1"/>
        <rFont val="Calibri"/>
        <family val="2"/>
        <scheme val="minor"/>
      </rPr>
      <t>N'apparaîtrons alors dans le tableau que les résultat des travaux considérés dans l'étude</t>
    </r>
  </si>
  <si>
    <t>Modifications à venir:</t>
  </si>
  <si>
    <t>Fermer tous les plans de groupements verticaux des aides non adaptés pour au ménage - celles dont la couleur ne correpond pas à la couleur de la catégorie de revenus en B2</t>
  </si>
  <si>
    <t>ajout aide régionale IDF (ex fond air bois)</t>
  </si>
  <si>
    <t>calcul reste à charge, pris en compte du prêt</t>
  </si>
  <si>
    <t>pris en compte baisse charge, augmentation cout énergie</t>
  </si>
  <si>
    <t>Vous pouvez dupliquer l'onglet "scénario_1" et étudier des variantes avec des travaux et quantitatifs différentes</t>
  </si>
  <si>
    <t>En l'état, vous pouvez intégrer un screenshot du tableau dans un mail en y expliquant les différentes options d'aide et les conditions</t>
  </si>
  <si>
    <t>proposer un rendu "propre"</t>
  </si>
  <si>
    <t>PLAN DE FINANCEMENT</t>
  </si>
  <si>
    <t>PROJECTION DE LA FACTURE ÉNERGÉTIQUE</t>
  </si>
  <si>
    <t>Montant réel</t>
  </si>
  <si>
    <t>Part des dépenses</t>
  </si>
  <si>
    <t>Activation</t>
  </si>
  <si>
    <t>Prix du kWh (€)*</t>
  </si>
  <si>
    <t>Taux d'actualisation*</t>
  </si>
  <si>
    <t>Aide régional "Fond Air-Bois"</t>
  </si>
  <si>
    <t>Aides locales</t>
  </si>
  <si>
    <t>Facture énergétique</t>
  </si>
  <si>
    <t xml:space="preserve">Total des aides </t>
  </si>
  <si>
    <t>Part financée avec un autre prêt bancaire</t>
  </si>
  <si>
    <t>Eco-prêt à taux zéro</t>
  </si>
  <si>
    <t>ans</t>
  </si>
  <si>
    <t>Mensualité</t>
  </si>
  <si>
    <t>Montant emprunté</t>
  </si>
  <si>
    <t>Taux assurance</t>
  </si>
  <si>
    <t>Coût d'assurance</t>
  </si>
  <si>
    <t xml:space="preserve">Autre prêt bancaire </t>
  </si>
  <si>
    <t>Durée du prêt</t>
  </si>
  <si>
    <t>Taux d'intérêt</t>
  </si>
  <si>
    <t>Taux d'assurance</t>
  </si>
  <si>
    <t>Coût du prêt</t>
  </si>
  <si>
    <t xml:space="preserve">RETOUR SUR INVESTISSEMENT </t>
  </si>
  <si>
    <t>Primes "Coup de pouce" et CEE (par poste)</t>
  </si>
  <si>
    <t>MaPrimRénov' (par poste)</t>
  </si>
  <si>
    <t>MPR Bonus sortie de passoire</t>
  </si>
  <si>
    <t>MPR Bonus Bâtiment Basse Consommation (BBC)</t>
  </si>
  <si>
    <t>Coup de pouce rénovation globale</t>
  </si>
  <si>
    <t>MaPrimRénov' Sérénité Bleu</t>
  </si>
  <si>
    <t>MaPrimRénov' Sérénité Jaune</t>
  </si>
  <si>
    <t>CEE renovation global (35%) ou coup de pouce (55%)</t>
  </si>
  <si>
    <t>Performance globale 35%</t>
  </si>
  <si>
    <t>Total des dépenses éligibles</t>
  </si>
  <si>
    <t>de reste à financer après Eco-PTZ</t>
  </si>
  <si>
    <t>soit</t>
  </si>
  <si>
    <t>Total cout Etude</t>
  </si>
  <si>
    <t>Total cout travaux rénovation énergétique</t>
  </si>
  <si>
    <t>Montant CEE (*)</t>
  </si>
  <si>
    <t>montant unitaire
CEE (*)</t>
  </si>
  <si>
    <t xml:space="preserve">Aide CEE par Poste </t>
  </si>
  <si>
    <t>Aide MPR par Poste</t>
  </si>
  <si>
    <t>gain calculé dans l'audit</t>
  </si>
  <si>
    <t>cout kwh énergie (TTC)</t>
  </si>
  <si>
    <t>source AJENA</t>
  </si>
  <si>
    <t>Cet outil d'aide à la décision permet d'évaluer les aides financières mobilisables et d'optimiser le plan de financement d'un projet de rénovation énergétique en maison individuelle ou en appartement.  Les informations ci-dessous sont des projections données à titre indicatif sur la base des données fournies par le bénéficaire. Elles ne peuvent en aucun cas engager la responsaibilité du conseiller ou de sa strucuture. Seuls les organismes habilités pourront confirmer l’éligibilité formelle du projet aux dispositifs cités.</t>
  </si>
  <si>
    <t>Somme maximum mobilisable</t>
  </si>
  <si>
    <t>Evolution cumulée</t>
  </si>
  <si>
    <t>Part finançable avec l'éco-PTZ</t>
  </si>
  <si>
    <t>cout annuel entretien</t>
  </si>
  <si>
    <t>Aucun</t>
  </si>
  <si>
    <t>Nombre de travaux éligibles</t>
  </si>
  <si>
    <t>cumul N+10</t>
  </si>
  <si>
    <t>cumul N+20</t>
  </si>
  <si>
    <t>Facture énergétique sans travaux</t>
  </si>
  <si>
    <t>Facture énergétique avec  travaux</t>
  </si>
  <si>
    <t>Montant Mensualité</t>
  </si>
  <si>
    <t>Nombre Mensualité</t>
  </si>
  <si>
    <t>Remboursement travaux</t>
  </si>
  <si>
    <t>COURBE COMPARATIVE DES COUTS TOTAUX CUMULES SUR 20 ANS</t>
  </si>
  <si>
    <t>Montant projet initial</t>
  </si>
  <si>
    <t>Rappel: Le logement est achevé depuis plus de 2 ans à la date du début des travaux. Il doit être déclaré comme résidence principale ou destiné à l’être ;
On considère que les aides permettront un remboursement anticipé et donc que le prêt porte en réalité sur le reste à charge</t>
  </si>
  <si>
    <t>rappel gain estimé</t>
  </si>
  <si>
    <t>Montant corrigé avec remboursement aides anticipé</t>
  </si>
  <si>
    <t>Durée sélectionnée</t>
  </si>
  <si>
    <t>Durée éligible max</t>
  </si>
  <si>
    <t xml:space="preserve">Energie </t>
  </si>
  <si>
    <t>Avant travaux</t>
  </si>
  <si>
    <t>Avec Travaux</t>
  </si>
  <si>
    <t>Conso annuelle (kWh)</t>
  </si>
  <si>
    <t>MaPrimRénov' Réno globale</t>
  </si>
  <si>
    <r>
      <t xml:space="preserve">Champ </t>
    </r>
    <r>
      <rPr>
        <b/>
        <sz val="11"/>
        <color theme="1"/>
        <rFont val="Calibri"/>
        <family val="2"/>
        <scheme val="minor"/>
      </rPr>
      <t>Audit</t>
    </r>
    <r>
      <rPr>
        <sz val="11"/>
        <color theme="1"/>
        <rFont val="Calibri"/>
        <family val="2"/>
        <scheme val="minor"/>
      </rPr>
      <t>:
Si gain énergétique et CEP actuel connus , les renseigner dans le 2nd cadre (hors gris)
Sinon fermer le plan de groupement et indiquer un gain de 0</t>
    </r>
  </si>
  <si>
    <t>Performance</t>
  </si>
  <si>
    <t>Date construction:</t>
  </si>
  <si>
    <t>Surface (m²):</t>
  </si>
  <si>
    <t>Caractéristiques:</t>
  </si>
  <si>
    <t>Energie principale:</t>
  </si>
  <si>
    <t>Catégorie de revenus:</t>
  </si>
  <si>
    <t>Audit réalisés?</t>
  </si>
  <si>
    <t>gain énergétique</t>
  </si>
  <si>
    <t xml:space="preserve">Cep avant travaux </t>
  </si>
  <si>
    <t xml:space="preserve">Cep après travaux </t>
  </si>
  <si>
    <t>Ville / CP:</t>
  </si>
  <si>
    <t>Nom:</t>
  </si>
  <si>
    <t>Prénom:</t>
  </si>
  <si>
    <t>Adresse:</t>
  </si>
  <si>
    <t>Coordonnées:</t>
  </si>
  <si>
    <r>
      <t xml:space="preserve">Isolation des murs par l’extérieur </t>
    </r>
    <r>
      <rPr>
        <b/>
        <sz val="11"/>
        <color theme="1"/>
        <rFont val="Calibri"/>
        <family val="2"/>
        <scheme val="minor"/>
      </rPr>
      <t>(100m² max)</t>
    </r>
  </si>
  <si>
    <t>COMPARATIF DES FACTURE ÉNERGÉTIQUES ANNUELLES APRES 10 ANS</t>
  </si>
  <si>
    <t>Facture N+10</t>
  </si>
  <si>
    <t>Facture N+20</t>
  </si>
  <si>
    <t>delta (%)</t>
  </si>
  <si>
    <t>montant prêt</t>
  </si>
  <si>
    <t>durée prêt</t>
  </si>
  <si>
    <t>nombre mensualité</t>
  </si>
  <si>
    <t>intérêt</t>
  </si>
  <si>
    <t>montant intérêt</t>
  </si>
  <si>
    <t>montant mensualité hors intérêt</t>
  </si>
  <si>
    <t>capital restant du</t>
  </si>
  <si>
    <t>capital remboursé</t>
  </si>
  <si>
    <t>taux mensuel</t>
  </si>
  <si>
    <t>taux annuel</t>
  </si>
  <si>
    <t>cumul intérêt</t>
  </si>
  <si>
    <t>cumul prêt + intérêts</t>
  </si>
  <si>
    <t>mensualités</t>
  </si>
  <si>
    <t>années</t>
  </si>
  <si>
    <t>MPR Sérénité bleu 
50% du cout HT
(si gain 35%)</t>
  </si>
  <si>
    <t xml:space="preserve">M, Fredric </t>
  </si>
  <si>
    <t>CEE - Coup de pouce rénovation globale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</si>
</sst>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0\ &quot;€&quot;;[Red]\-#,##0\ &quot;€&quot;"/>
    <numFmt numFmtId="8" formatCode="#,##0.00\ &quot;€&quot;;[Red]\-#,##0.00\ &quot;€&quot;"/>
    <numFmt numFmtId="164" formatCode="0.0%"/>
    <numFmt numFmtId="165" formatCode="#,##0\ &quot;€&quot;"/>
    <numFmt numFmtId="166" formatCode="#,##0.00\ &quot;€&quot;"/>
    <numFmt numFmtId="167" formatCode="#,##0.0000\ &quot;€&quot;"/>
    <numFmt numFmtId="168" formatCode="_-* #,##0.00\ _€_-;\-* #,##0.00\ _€_-;_-* &quot;-&quot;??\ _€_-;_-@_-"/>
    <numFmt numFmtId="169" formatCode="_-* #,##0\ _€_-;\-* #,##0\ _€_-;_-* &quot;-&quot;??\ _€_-;_-@_-"/>
    <numFmt numFmtId="170" formatCode="#,##0\ [$€-1]"/>
    <numFmt numFmtId="171" formatCode="0&quot; kWh/m².an&quot;"/>
    <numFmt numFmtId="172" formatCode="0&quot; €/m²&quot;"/>
    <numFmt numFmtId="173" formatCode="0&quot; €/équipement&quot;"/>
    <numFmt numFmtId="174" formatCode="0&quot; €/MWh.an économisés&quot;"/>
    <numFmt numFmtId="175" formatCode="0&quot; ans&quot;"/>
    <numFmt numFmtId="176" formatCode="0.000%"/>
    <numFmt numFmtId="177" formatCode="0.00000"/>
    <numFmt numFmtId="178" formatCode="#,##0.000\ &quot;€&quot;"/>
  </numFmts>
  <fonts count="38"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u/>
      <sz val="11"/>
      <color theme="1"/>
      <name val="Calibri"/>
      <family val="2"/>
      <scheme val="minor"/>
    </font>
    <font>
      <sz val="11"/>
      <color theme="1"/>
      <name val="Calibri"/>
      <family val="2"/>
    </font>
    <font>
      <b/>
      <sz val="11"/>
      <name val="Calibri"/>
      <family val="2"/>
      <scheme val="minor"/>
    </font>
    <font>
      <u/>
      <sz val="11"/>
      <color theme="1"/>
      <name val="Calibri"/>
      <family val="2"/>
      <scheme val="minor"/>
    </font>
    <font>
      <b/>
      <sz val="14"/>
      <color theme="4"/>
      <name val="Calibri"/>
      <family val="2"/>
      <scheme val="minor"/>
    </font>
    <font>
      <b/>
      <sz val="11"/>
      <color theme="4"/>
      <name val="Calibri"/>
      <family val="2"/>
      <scheme val="minor"/>
    </font>
    <font>
      <sz val="10"/>
      <color theme="1"/>
      <name val="Calibri"/>
      <family val="2"/>
      <scheme val="minor"/>
    </font>
    <font>
      <sz val="11"/>
      <name val="Calibri"/>
      <family val="2"/>
      <scheme val="minor"/>
    </font>
    <font>
      <sz val="10"/>
      <name val="Arial"/>
      <family val="2"/>
    </font>
    <font>
      <b/>
      <sz val="12"/>
      <color theme="0"/>
      <name val="Arial"/>
      <family val="2"/>
    </font>
    <font>
      <sz val="10"/>
      <color theme="0"/>
      <name val="Arial"/>
      <family val="2"/>
    </font>
    <font>
      <b/>
      <sz val="11"/>
      <color rgb="FF000000"/>
      <name val="Calibri"/>
      <family val="2"/>
    </font>
    <font>
      <i/>
      <sz val="10"/>
      <color theme="0"/>
      <name val="Arial"/>
      <family val="2"/>
    </font>
    <font>
      <sz val="10"/>
      <color theme="1"/>
      <name val="Arial"/>
      <family val="2"/>
    </font>
    <font>
      <sz val="10"/>
      <color indexed="8"/>
      <name val="Arial"/>
      <family val="2"/>
    </font>
    <font>
      <b/>
      <sz val="9"/>
      <color indexed="81"/>
      <name val="Tahoma"/>
      <family val="2"/>
    </font>
    <font>
      <sz val="9"/>
      <color indexed="81"/>
      <name val="Tahoma"/>
      <family val="2"/>
    </font>
    <font>
      <sz val="11"/>
      <color rgb="FFFF0000"/>
      <name val="Calibri"/>
      <family val="2"/>
      <scheme val="minor"/>
    </font>
    <font>
      <u/>
      <sz val="11"/>
      <color theme="10"/>
      <name val="Calibri"/>
      <family val="2"/>
      <scheme val="minor"/>
    </font>
    <font>
      <b/>
      <sz val="11"/>
      <color rgb="FFFF0000"/>
      <name val="Calibri"/>
      <family val="2"/>
      <scheme val="minor"/>
    </font>
    <font>
      <i/>
      <sz val="11"/>
      <color theme="1"/>
      <name val="Calibri"/>
      <family val="2"/>
      <scheme val="minor"/>
    </font>
    <font>
      <sz val="11"/>
      <color rgb="FF002060"/>
      <name val="Calibri"/>
      <family val="2"/>
      <scheme val="minor"/>
    </font>
    <font>
      <b/>
      <sz val="12"/>
      <color rgb="FFFF0000"/>
      <name val="Calibri"/>
      <family val="2"/>
      <scheme val="minor"/>
    </font>
    <font>
      <b/>
      <sz val="16"/>
      <color theme="0"/>
      <name val="Calibri"/>
      <family val="2"/>
      <scheme val="minor"/>
    </font>
    <font>
      <b/>
      <sz val="12"/>
      <color rgb="FF009984"/>
      <name val="Calibri"/>
      <family val="2"/>
      <scheme val="minor"/>
    </font>
    <font>
      <b/>
      <sz val="12"/>
      <color theme="1"/>
      <name val="Calibri"/>
      <family val="2"/>
      <scheme val="minor"/>
    </font>
    <font>
      <b/>
      <sz val="14"/>
      <color theme="0"/>
      <name val="Calibri"/>
      <family val="2"/>
      <scheme val="minor"/>
    </font>
    <font>
      <b/>
      <sz val="14"/>
      <color theme="6" tint="-0.499984740745262"/>
      <name val="Calibri"/>
      <family val="2"/>
      <scheme val="minor"/>
    </font>
    <font>
      <b/>
      <sz val="10"/>
      <color indexed="81"/>
      <name val="Calibri"/>
      <family val="2"/>
      <scheme val="minor"/>
    </font>
    <font>
      <u/>
      <sz val="9"/>
      <color indexed="81"/>
      <name val="Tahoma"/>
      <family val="2"/>
    </font>
    <font>
      <b/>
      <sz val="12"/>
      <color indexed="81"/>
      <name val="Calibri"/>
      <family val="2"/>
      <scheme val="minor"/>
    </font>
    <font>
      <sz val="11"/>
      <color rgb="FF00B0F0"/>
      <name val="Calibri"/>
      <family val="2"/>
      <scheme val="minor"/>
    </font>
  </fonts>
  <fills count="25">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5"/>
        <bgColor indexed="64"/>
      </patternFill>
    </fill>
    <fill>
      <patternFill patternType="solid">
        <fgColor rgb="FFC00000"/>
        <bgColor indexed="64"/>
      </patternFill>
    </fill>
    <fill>
      <patternFill patternType="solid">
        <fgColor theme="1"/>
        <bgColor indexed="64"/>
      </patternFill>
    </fill>
    <fill>
      <patternFill patternType="solid">
        <fgColor rgb="FFFFCC99"/>
        <bgColor rgb="FFFFCC99"/>
      </patternFill>
    </fill>
    <fill>
      <patternFill patternType="solid">
        <fgColor theme="4" tint="0.39997558519241921"/>
        <bgColor indexed="64"/>
      </patternFill>
    </fill>
    <fill>
      <patternFill patternType="solid">
        <fgColor rgb="FF99CCFF"/>
        <bgColor rgb="FF99CCFF"/>
      </patternFill>
    </fill>
    <fill>
      <patternFill patternType="solid">
        <fgColor indexed="22"/>
        <bgColor indexed="64"/>
      </patternFill>
    </fill>
    <fill>
      <patternFill patternType="solid">
        <fgColor rgb="FFEB5C25"/>
        <bgColor indexed="64"/>
      </patternFill>
    </fill>
    <fill>
      <patternFill patternType="solid">
        <fgColor rgb="FF009984"/>
        <bgColor indexed="64"/>
      </patternFill>
    </fill>
    <fill>
      <patternFill patternType="solid">
        <fgColor theme="0" tint="-0.249977111117893"/>
        <bgColor indexed="64"/>
      </patternFill>
    </fill>
    <fill>
      <patternFill patternType="solid">
        <fgColor rgb="FFFF0000"/>
        <bgColor indexed="64"/>
      </patternFill>
    </fill>
    <fill>
      <patternFill patternType="solid">
        <fgColor rgb="FF00B0F0"/>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bottom style="double">
        <color indexed="64"/>
      </bottom>
      <diagonal/>
    </border>
    <border>
      <left/>
      <right/>
      <top style="double">
        <color indexed="64"/>
      </top>
      <bottom/>
      <diagonal/>
    </border>
    <border>
      <left/>
      <right style="dotted">
        <color indexed="64"/>
      </right>
      <top/>
      <bottom style="dotted">
        <color indexed="64"/>
      </bottom>
      <diagonal/>
    </border>
    <border>
      <left/>
      <right/>
      <top/>
      <bottom style="dotted">
        <color indexed="64"/>
      </bottom>
      <diagonal/>
    </border>
    <border>
      <left style="thin">
        <color theme="1" tint="0.499984740745262"/>
      </left>
      <right style="thin">
        <color theme="1" tint="0.499984740745262"/>
      </right>
      <top/>
      <bottom style="thin">
        <color theme="1" tint="0.499984740745262"/>
      </bottom>
      <diagonal/>
    </border>
    <border>
      <left/>
      <right/>
      <top/>
      <bottom style="thin">
        <color rgb="FF000000"/>
      </bottom>
      <diagonal/>
    </border>
  </borders>
  <cellStyleXfs count="4">
    <xf numFmtId="0" fontId="0" fillId="0" borderId="0"/>
    <xf numFmtId="168" fontId="2" fillId="0" borderId="0" applyFont="0" applyFill="0" applyBorder="0" applyAlignment="0" applyProtection="0"/>
    <xf numFmtId="0" fontId="14" fillId="0" borderId="0"/>
    <xf numFmtId="0" fontId="24" fillId="0" borderId="0" applyNumberFormat="0" applyFill="0" applyBorder="0" applyAlignment="0" applyProtection="0"/>
  </cellStyleXfs>
  <cellXfs count="754">
    <xf numFmtId="0" fontId="0" fillId="0" borderId="0" xfId="0"/>
    <xf numFmtId="0" fontId="1" fillId="0" borderId="0" xfId="0" applyFont="1"/>
    <xf numFmtId="0" fontId="0" fillId="4" borderId="0" xfId="0" applyFill="1"/>
    <xf numFmtId="0" fontId="6" fillId="4" borderId="0" xfId="0" applyFont="1" applyFill="1"/>
    <xf numFmtId="0" fontId="0" fillId="6" borderId="7" xfId="0" applyFill="1" applyBorder="1" applyAlignment="1">
      <alignment horizontal="center" vertical="center" wrapText="1"/>
    </xf>
    <xf numFmtId="0" fontId="0" fillId="6" borderId="4" xfId="0" applyFill="1" applyBorder="1" applyAlignment="1">
      <alignment horizontal="center" vertical="center" wrapText="1"/>
    </xf>
    <xf numFmtId="0" fontId="0" fillId="6" borderId="8" xfId="0" applyFill="1" applyBorder="1" applyAlignment="1">
      <alignment horizontal="center" vertical="center" wrapText="1"/>
    </xf>
    <xf numFmtId="0" fontId="0" fillId="7" borderId="7" xfId="0" applyFill="1" applyBorder="1" applyAlignment="1">
      <alignment horizontal="center" vertical="center" wrapText="1"/>
    </xf>
    <xf numFmtId="0" fontId="0" fillId="4" borderId="0" xfId="0" applyFill="1" applyAlignment="1">
      <alignment horizontal="center" vertical="center" wrapText="1"/>
    </xf>
    <xf numFmtId="0" fontId="0" fillId="8" borderId="4" xfId="0" applyFill="1" applyBorder="1"/>
    <xf numFmtId="0" fontId="0" fillId="8" borderId="9" xfId="0" applyFill="1" applyBorder="1"/>
    <xf numFmtId="0" fontId="0" fillId="8" borderId="10" xfId="0" applyFill="1" applyBorder="1"/>
    <xf numFmtId="0" fontId="0" fillId="8" borderId="11" xfId="0" applyFill="1" applyBorder="1"/>
    <xf numFmtId="0" fontId="0" fillId="8" borderId="9" xfId="0" applyFill="1" applyBorder="1" applyAlignment="1">
      <alignment horizontal="left"/>
    </xf>
    <xf numFmtId="0" fontId="0" fillId="8" borderId="11" xfId="0" applyFill="1" applyBorder="1" applyAlignment="1">
      <alignment horizontal="left"/>
    </xf>
    <xf numFmtId="0" fontId="0" fillId="8" borderId="4" xfId="0" applyFill="1" applyBorder="1" applyAlignment="1">
      <alignment vertical="center"/>
    </xf>
    <xf numFmtId="0" fontId="0" fillId="8" borderId="3" xfId="0" applyFill="1" applyBorder="1" applyAlignment="1">
      <alignment horizontal="center"/>
    </xf>
    <xf numFmtId="0" fontId="0" fillId="8" borderId="4" xfId="0" applyFill="1" applyBorder="1" applyAlignment="1">
      <alignment horizontal="left"/>
    </xf>
    <xf numFmtId="0" fontId="0" fillId="8" borderId="3" xfId="0" applyFill="1" applyBorder="1"/>
    <xf numFmtId="0" fontId="0" fillId="8" borderId="12" xfId="0" applyFill="1" applyBorder="1"/>
    <xf numFmtId="0" fontId="0" fillId="8" borderId="12" xfId="0" applyFill="1" applyBorder="1" applyAlignment="1">
      <alignment horizontal="left"/>
    </xf>
    <xf numFmtId="0" fontId="0" fillId="8" borderId="10" xfId="0" applyFill="1" applyBorder="1" applyAlignment="1">
      <alignment horizontal="left"/>
    </xf>
    <xf numFmtId="0" fontId="0" fillId="8" borderId="3" xfId="0" applyFill="1" applyBorder="1" applyAlignment="1">
      <alignment vertical="center"/>
    </xf>
    <xf numFmtId="0" fontId="0" fillId="8" borderId="3" xfId="0" applyFill="1" applyBorder="1" applyAlignment="1">
      <alignment horizontal="left"/>
    </xf>
    <xf numFmtId="0" fontId="0" fillId="8" borderId="13" xfId="0" applyFill="1" applyBorder="1"/>
    <xf numFmtId="0" fontId="0" fillId="8" borderId="14" xfId="0" applyFill="1" applyBorder="1"/>
    <xf numFmtId="0" fontId="0" fillId="8" borderId="15" xfId="0" applyFill="1" applyBorder="1" applyAlignment="1">
      <alignment horizontal="right"/>
    </xf>
    <xf numFmtId="0" fontId="0" fillId="8" borderId="15" xfId="0" applyFill="1" applyBorder="1"/>
    <xf numFmtId="0" fontId="0" fillId="8" borderId="14" xfId="0" applyFill="1" applyBorder="1" applyAlignment="1">
      <alignment horizontal="left"/>
    </xf>
    <xf numFmtId="0" fontId="0" fillId="4" borderId="0" xfId="0" applyFill="1" applyAlignment="1">
      <alignment horizontal="right"/>
    </xf>
    <xf numFmtId="0" fontId="0" fillId="8" borderId="15" xfId="0" applyFill="1" applyBorder="1" applyAlignment="1">
      <alignment horizontal="left"/>
    </xf>
    <xf numFmtId="0" fontId="0" fillId="8" borderId="0" xfId="0" applyFill="1"/>
    <xf numFmtId="0" fontId="0" fillId="8" borderId="15" xfId="0" applyFill="1" applyBorder="1" applyAlignment="1">
      <alignment vertical="center"/>
    </xf>
    <xf numFmtId="0" fontId="0" fillId="8" borderId="13" xfId="0" applyFill="1" applyBorder="1" applyAlignment="1">
      <alignment horizontal="left"/>
    </xf>
    <xf numFmtId="166" fontId="0" fillId="4" borderId="0" xfId="0" applyNumberFormat="1" applyFill="1"/>
    <xf numFmtId="0" fontId="0" fillId="4" borderId="0" xfId="0" applyFill="1" applyAlignment="1">
      <alignment horizontal="left"/>
    </xf>
    <xf numFmtId="0" fontId="5" fillId="4" borderId="0" xfId="0" applyFont="1" applyFill="1"/>
    <xf numFmtId="0" fontId="0" fillId="4" borderId="1" xfId="0" applyFill="1" applyBorder="1"/>
    <xf numFmtId="0" fontId="0" fillId="4" borderId="21"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left"/>
    </xf>
    <xf numFmtId="0" fontId="0" fillId="4" borderId="24" xfId="0" applyFill="1" applyBorder="1" applyAlignment="1">
      <alignment horizontal="center"/>
    </xf>
    <xf numFmtId="0" fontId="0" fillId="4" borderId="23" xfId="0" applyFill="1" applyBorder="1" applyAlignment="1">
      <alignment horizontal="center"/>
    </xf>
    <xf numFmtId="0" fontId="0" fillId="4" borderId="6" xfId="0" applyFill="1" applyBorder="1" applyAlignment="1">
      <alignment horizontal="center"/>
    </xf>
    <xf numFmtId="0" fontId="0" fillId="4" borderId="25" xfId="0" applyFill="1" applyBorder="1"/>
    <xf numFmtId="0" fontId="0" fillId="4" borderId="22" xfId="0" applyFill="1" applyBorder="1"/>
    <xf numFmtId="0" fontId="0" fillId="4" borderId="1" xfId="0" applyFill="1" applyBorder="1" applyAlignment="1">
      <alignment horizontal="center"/>
    </xf>
    <xf numFmtId="0" fontId="0" fillId="4" borderId="26" xfId="0" applyFill="1" applyBorder="1" applyAlignment="1">
      <alignment horizontal="center"/>
    </xf>
    <xf numFmtId="1" fontId="0" fillId="4" borderId="0" xfId="0" applyNumberFormat="1" applyFill="1"/>
    <xf numFmtId="0" fontId="0" fillId="0" borderId="27" xfId="0" applyBorder="1"/>
    <xf numFmtId="167" fontId="0" fillId="0" borderId="28" xfId="0" applyNumberFormat="1" applyBorder="1"/>
    <xf numFmtId="9" fontId="0" fillId="0" borderId="29" xfId="0" applyNumberFormat="1" applyBorder="1"/>
    <xf numFmtId="166" fontId="0" fillId="4" borderId="30" xfId="0" applyNumberFormat="1" applyFill="1" applyBorder="1"/>
    <xf numFmtId="9" fontId="0" fillId="4" borderId="31" xfId="0" applyNumberFormat="1" applyFill="1" applyBorder="1"/>
    <xf numFmtId="166" fontId="0" fillId="4" borderId="29" xfId="0" applyNumberFormat="1" applyFill="1" applyBorder="1"/>
    <xf numFmtId="0" fontId="0" fillId="4" borderId="33" xfId="0" applyFill="1" applyBorder="1"/>
    <xf numFmtId="0" fontId="0" fillId="4" borderId="29" xfId="0" applyFill="1" applyBorder="1"/>
    <xf numFmtId="0" fontId="0" fillId="4" borderId="34" xfId="0" applyFill="1" applyBorder="1"/>
    <xf numFmtId="0" fontId="0" fillId="4" borderId="27" xfId="0" applyFill="1" applyBorder="1"/>
    <xf numFmtId="0" fontId="0" fillId="0" borderId="35" xfId="0" applyBorder="1"/>
    <xf numFmtId="167" fontId="0" fillId="0" borderId="36" xfId="0" applyNumberFormat="1" applyBorder="1"/>
    <xf numFmtId="9" fontId="0" fillId="0" borderId="8" xfId="0" applyNumberFormat="1" applyBorder="1"/>
    <xf numFmtId="166" fontId="0" fillId="4" borderId="37" xfId="0" applyNumberFormat="1" applyFill="1" applyBorder="1"/>
    <xf numFmtId="9" fontId="0" fillId="4" borderId="38" xfId="0" applyNumberFormat="1" applyFill="1" applyBorder="1"/>
    <xf numFmtId="166" fontId="0" fillId="4" borderId="8" xfId="0" applyNumberFormat="1" applyFill="1" applyBorder="1"/>
    <xf numFmtId="166" fontId="0" fillId="4" borderId="40" xfId="0" applyNumberFormat="1" applyFill="1" applyBorder="1"/>
    <xf numFmtId="166" fontId="0" fillId="4" borderId="7" xfId="0" applyNumberFormat="1" applyFill="1" applyBorder="1"/>
    <xf numFmtId="0" fontId="0" fillId="4" borderId="41" xfId="0" applyFill="1" applyBorder="1"/>
    <xf numFmtId="0" fontId="0" fillId="4" borderId="35" xfId="0" applyFill="1" applyBorder="1"/>
    <xf numFmtId="0" fontId="0" fillId="8" borderId="35" xfId="0" applyFill="1" applyBorder="1"/>
    <xf numFmtId="167" fontId="0" fillId="8" borderId="36" xfId="0" applyNumberFormat="1" applyFill="1" applyBorder="1"/>
    <xf numFmtId="9" fontId="0" fillId="8" borderId="8" xfId="0" applyNumberFormat="1" applyFill="1" applyBorder="1"/>
    <xf numFmtId="166" fontId="0" fillId="8" borderId="37" xfId="0" applyNumberFormat="1" applyFill="1" applyBorder="1"/>
    <xf numFmtId="9" fontId="0" fillId="8" borderId="38" xfId="0" applyNumberFormat="1" applyFill="1" applyBorder="1"/>
    <xf numFmtId="166" fontId="0" fillId="8" borderId="40" xfId="0" applyNumberFormat="1" applyFill="1" applyBorder="1"/>
    <xf numFmtId="166" fontId="0" fillId="8" borderId="8" xfId="0" applyNumberFormat="1" applyFill="1" applyBorder="1"/>
    <xf numFmtId="166" fontId="0" fillId="8" borderId="7" xfId="0" applyNumberFormat="1" applyFill="1" applyBorder="1"/>
    <xf numFmtId="0" fontId="0" fillId="8" borderId="42" xfId="0" applyFill="1" applyBorder="1"/>
    <xf numFmtId="9" fontId="0" fillId="8" borderId="44" xfId="0" applyNumberFormat="1" applyFill="1" applyBorder="1"/>
    <xf numFmtId="166" fontId="0" fillId="8" borderId="45" xfId="0" applyNumberFormat="1" applyFill="1" applyBorder="1"/>
    <xf numFmtId="9" fontId="0" fillId="8" borderId="46" xfId="0" applyNumberFormat="1" applyFill="1" applyBorder="1"/>
    <xf numFmtId="166" fontId="0" fillId="8" borderId="47" xfId="0" applyNumberFormat="1" applyFill="1" applyBorder="1"/>
    <xf numFmtId="166" fontId="0" fillId="8" borderId="44" xfId="0" applyNumberFormat="1" applyFill="1" applyBorder="1"/>
    <xf numFmtId="166" fontId="0" fillId="8" borderId="48" xfId="0" applyNumberFormat="1" applyFill="1" applyBorder="1"/>
    <xf numFmtId="0" fontId="0" fillId="4" borderId="49" xfId="0" applyFill="1" applyBorder="1"/>
    <xf numFmtId="0" fontId="0" fillId="4" borderId="42" xfId="0" applyFill="1" applyBorder="1"/>
    <xf numFmtId="0" fontId="3" fillId="9" borderId="1"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1" xfId="0" applyFont="1" applyFill="1" applyBorder="1" applyAlignment="1">
      <alignment vertical="center"/>
    </xf>
    <xf numFmtId="0" fontId="3" fillId="9" borderId="51" xfId="0" applyFont="1" applyFill="1" applyBorder="1" applyAlignment="1">
      <alignment horizontal="center" vertical="center"/>
    </xf>
    <xf numFmtId="0" fontId="3" fillId="9" borderId="0" xfId="0" applyFont="1" applyFill="1"/>
    <xf numFmtId="0" fontId="4" fillId="9" borderId="0" xfId="0" applyFont="1" applyFill="1"/>
    <xf numFmtId="0" fontId="0" fillId="10" borderId="34" xfId="0" applyFill="1" applyBorder="1" applyAlignment="1">
      <alignment horizontal="center"/>
    </xf>
    <xf numFmtId="0" fontId="0" fillId="4" borderId="30" xfId="0" applyFill="1" applyBorder="1" applyAlignment="1">
      <alignment horizontal="center"/>
    </xf>
    <xf numFmtId="169" fontId="0" fillId="4" borderId="33" xfId="1" applyNumberFormat="1" applyFont="1" applyFill="1" applyBorder="1" applyAlignment="1">
      <alignment horizontal="center"/>
    </xf>
    <xf numFmtId="0" fontId="0" fillId="0" borderId="28" xfId="0" applyBorder="1" applyAlignment="1">
      <alignment horizontal="center"/>
    </xf>
    <xf numFmtId="0" fontId="0" fillId="0" borderId="33" xfId="0" applyBorder="1" applyAlignment="1">
      <alignment horizontal="center"/>
    </xf>
    <xf numFmtId="0" fontId="0" fillId="0" borderId="29" xfId="0" applyBorder="1" applyAlignment="1">
      <alignment horizontal="center"/>
    </xf>
    <xf numFmtId="166" fontId="0" fillId="4" borderId="31" xfId="0" applyNumberFormat="1" applyFill="1" applyBorder="1" applyAlignment="1">
      <alignment horizontal="center"/>
    </xf>
    <xf numFmtId="0" fontId="0" fillId="10" borderId="51" xfId="0" applyFill="1" applyBorder="1" applyAlignment="1">
      <alignment vertical="center"/>
    </xf>
    <xf numFmtId="0" fontId="0" fillId="0" borderId="51" xfId="0" applyBorder="1" applyAlignment="1">
      <alignment horizontal="center" vertical="center"/>
    </xf>
    <xf numFmtId="8" fontId="0" fillId="0" borderId="51" xfId="0" applyNumberFormat="1" applyBorder="1" applyAlignment="1">
      <alignment horizontal="center" vertical="center"/>
    </xf>
    <xf numFmtId="0" fontId="3" fillId="9" borderId="7" xfId="0" applyFont="1" applyFill="1" applyBorder="1" applyAlignment="1">
      <alignment horizontal="center" vertical="center"/>
    </xf>
    <xf numFmtId="0" fontId="0" fillId="10" borderId="41" xfId="0" applyFill="1" applyBorder="1" applyAlignment="1">
      <alignment horizontal="center"/>
    </xf>
    <xf numFmtId="0" fontId="0" fillId="4" borderId="37" xfId="0" applyFill="1" applyBorder="1" applyAlignment="1">
      <alignment horizontal="center"/>
    </xf>
    <xf numFmtId="169" fontId="0" fillId="4" borderId="7" xfId="1" applyNumberFormat="1" applyFont="1" applyFill="1" applyBorder="1" applyAlignment="1">
      <alignment horizontal="center"/>
    </xf>
    <xf numFmtId="0" fontId="0" fillId="0" borderId="3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6" fontId="0" fillId="4" borderId="38" xfId="0" applyNumberFormat="1" applyFill="1" applyBorder="1" applyAlignment="1">
      <alignment horizontal="center"/>
    </xf>
    <xf numFmtId="0" fontId="0" fillId="10" borderId="7" xfId="0" applyFill="1" applyBorder="1" applyAlignment="1">
      <alignment vertical="center"/>
    </xf>
    <xf numFmtId="9" fontId="0" fillId="0" borderId="7" xfId="0" applyNumberFormat="1" applyBorder="1" applyAlignment="1">
      <alignment horizontal="center" vertical="center"/>
    </xf>
    <xf numFmtId="10" fontId="0" fillId="0" borderId="7" xfId="0" applyNumberFormat="1" applyBorder="1" applyAlignment="1">
      <alignment horizontal="center" vertical="center"/>
    </xf>
    <xf numFmtId="0" fontId="8" fillId="10" borderId="51" xfId="0" applyFont="1" applyFill="1" applyBorder="1" applyAlignment="1">
      <alignment vertical="center"/>
    </xf>
    <xf numFmtId="166" fontId="0" fillId="0" borderId="51" xfId="0" applyNumberFormat="1" applyBorder="1" applyAlignment="1">
      <alignment horizontal="center" vertical="center"/>
    </xf>
    <xf numFmtId="0" fontId="8" fillId="10" borderId="52" xfId="0" applyFont="1" applyFill="1" applyBorder="1" applyAlignment="1">
      <alignment vertical="center"/>
    </xf>
    <xf numFmtId="166" fontId="0" fillId="11" borderId="52" xfId="0" applyNumberFormat="1" applyFill="1" applyBorder="1" applyAlignment="1">
      <alignment horizontal="center" vertical="center"/>
    </xf>
    <xf numFmtId="166" fontId="0" fillId="11" borderId="51" xfId="0" applyNumberFormat="1" applyFill="1" applyBorder="1" applyAlignment="1">
      <alignment horizontal="center" vertical="center"/>
    </xf>
    <xf numFmtId="0" fontId="1" fillId="4" borderId="1" xfId="0" applyFont="1" applyFill="1" applyBorder="1"/>
    <xf numFmtId="0" fontId="0" fillId="11" borderId="1" xfId="0" applyFill="1" applyBorder="1" applyAlignment="1">
      <alignment horizontal="center"/>
    </xf>
    <xf numFmtId="0" fontId="0" fillId="10" borderId="49" xfId="0" applyFill="1" applyBorder="1" applyAlignment="1">
      <alignment horizontal="center"/>
    </xf>
    <xf numFmtId="0" fontId="0" fillId="4" borderId="45" xfId="0" applyFill="1" applyBorder="1" applyAlignment="1">
      <alignment horizontal="center"/>
    </xf>
    <xf numFmtId="169" fontId="0" fillId="4" borderId="48" xfId="1" applyNumberFormat="1" applyFont="1" applyFill="1" applyBorder="1" applyAlignment="1">
      <alignment horizontal="center"/>
    </xf>
    <xf numFmtId="0" fontId="0" fillId="0" borderId="43" xfId="0" applyBorder="1" applyAlignment="1">
      <alignment horizontal="center"/>
    </xf>
    <xf numFmtId="0" fontId="0" fillId="0" borderId="48" xfId="0" applyBorder="1" applyAlignment="1">
      <alignment horizontal="center"/>
    </xf>
    <xf numFmtId="0" fontId="0" fillId="0" borderId="44" xfId="0" applyBorder="1" applyAlignment="1">
      <alignment horizontal="center"/>
    </xf>
    <xf numFmtId="166" fontId="0" fillId="4" borderId="46" xfId="0" applyNumberFormat="1" applyFill="1" applyBorder="1" applyAlignment="1">
      <alignment horizontal="center"/>
    </xf>
    <xf numFmtId="170" fontId="0" fillId="4" borderId="0" xfId="0" applyNumberFormat="1" applyFill="1"/>
    <xf numFmtId="0" fontId="1" fillId="4" borderId="0" xfId="0" applyFont="1" applyFill="1" applyAlignment="1">
      <alignment horizontal="left"/>
    </xf>
    <xf numFmtId="0" fontId="1" fillId="0" borderId="30" xfId="0" applyFont="1" applyBorder="1" applyAlignment="1">
      <alignment horizontal="center" vertical="center" wrapText="1"/>
    </xf>
    <xf numFmtId="0" fontId="1" fillId="4" borderId="33"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4" borderId="31" xfId="0" applyFont="1" applyFill="1" applyBorder="1" applyAlignment="1">
      <alignment horizontal="center"/>
    </xf>
    <xf numFmtId="0" fontId="1" fillId="4" borderId="7" xfId="0" applyFont="1" applyFill="1" applyBorder="1" applyAlignment="1">
      <alignment horizontal="center"/>
    </xf>
    <xf numFmtId="165" fontId="0" fillId="4" borderId="7" xfId="0" applyNumberFormat="1" applyFill="1" applyBorder="1" applyAlignment="1">
      <alignment horizontal="center"/>
    </xf>
    <xf numFmtId="165" fontId="0" fillId="0" borderId="7" xfId="0" applyNumberFormat="1" applyBorder="1" applyAlignment="1">
      <alignment horizontal="center"/>
    </xf>
    <xf numFmtId="165" fontId="0" fillId="0" borderId="38" xfId="0" applyNumberFormat="1" applyBorder="1" applyAlignment="1">
      <alignment horizontal="center"/>
    </xf>
    <xf numFmtId="0" fontId="0" fillId="4" borderId="7" xfId="0" applyFill="1" applyBorder="1" applyAlignment="1">
      <alignment horizontal="center"/>
    </xf>
    <xf numFmtId="171" fontId="0" fillId="11" borderId="54" xfId="0" applyNumberFormat="1" applyFill="1" applyBorder="1" applyAlignment="1" applyProtection="1">
      <alignment horizontal="center"/>
      <protection locked="0"/>
    </xf>
    <xf numFmtId="165" fontId="0" fillId="11" borderId="7" xfId="0" applyNumberFormat="1" applyFill="1" applyBorder="1" applyAlignment="1">
      <alignment horizontal="center"/>
    </xf>
    <xf numFmtId="165" fontId="0" fillId="11" borderId="38" xfId="0" applyNumberFormat="1" applyFill="1" applyBorder="1" applyAlignment="1">
      <alignment horizontal="center"/>
    </xf>
    <xf numFmtId="0" fontId="0" fillId="0" borderId="37" xfId="0" applyBorder="1" applyAlignment="1">
      <alignment horizontal="center"/>
    </xf>
    <xf numFmtId="165" fontId="0" fillId="11" borderId="48" xfId="0" applyNumberFormat="1" applyFill="1" applyBorder="1" applyAlignment="1">
      <alignment horizontal="center"/>
    </xf>
    <xf numFmtId="165" fontId="0" fillId="11" borderId="46" xfId="0" applyNumberFormat="1" applyFill="1" applyBorder="1" applyAlignment="1">
      <alignment horizontal="center"/>
    </xf>
    <xf numFmtId="0" fontId="5" fillId="5" borderId="30" xfId="0" applyFont="1" applyFill="1" applyBorder="1" applyAlignment="1">
      <alignment horizontal="center" vertical="center"/>
    </xf>
    <xf numFmtId="0" fontId="0" fillId="4" borderId="33" xfId="0" applyFill="1" applyBorder="1" applyAlignment="1">
      <alignment horizontal="center" vertical="center"/>
    </xf>
    <xf numFmtId="0" fontId="0" fillId="4" borderId="7" xfId="0" applyFill="1" applyBorder="1"/>
    <xf numFmtId="0" fontId="0" fillId="4" borderId="0" xfId="0" applyFill="1" applyAlignment="1">
      <alignment horizontal="center"/>
    </xf>
    <xf numFmtId="0" fontId="10" fillId="4" borderId="1" xfId="0" applyFont="1" applyFill="1" applyBorder="1" applyAlignment="1">
      <alignment horizontal="center" vertical="center"/>
    </xf>
    <xf numFmtId="169" fontId="0" fillId="4" borderId="0" xfId="1" applyNumberFormat="1" applyFont="1" applyFill="1"/>
    <xf numFmtId="0" fontId="3" fillId="12" borderId="9" xfId="0" applyFont="1" applyFill="1" applyBorder="1" applyAlignment="1">
      <alignment horizontal="center"/>
    </xf>
    <xf numFmtId="0" fontId="3" fillId="12" borderId="4" xfId="0" applyFont="1" applyFill="1" applyBorder="1" applyAlignment="1">
      <alignment horizontal="center"/>
    </xf>
    <xf numFmtId="0" fontId="3" fillId="12" borderId="61" xfId="0" applyFont="1" applyFill="1" applyBorder="1" applyAlignment="1">
      <alignment horizontal="center"/>
    </xf>
    <xf numFmtId="0" fontId="4" fillId="12" borderId="34" xfId="0" applyFont="1" applyFill="1" applyBorder="1"/>
    <xf numFmtId="166" fontId="0" fillId="11" borderId="64" xfId="0" applyNumberFormat="1" applyFill="1" applyBorder="1" applyAlignment="1">
      <alignment horizontal="center"/>
    </xf>
    <xf numFmtId="6" fontId="0" fillId="4" borderId="28" xfId="0" applyNumberFormat="1" applyFill="1" applyBorder="1" applyAlignment="1">
      <alignment horizontal="center"/>
    </xf>
    <xf numFmtId="6" fontId="0" fillId="4" borderId="33" xfId="0" applyNumberFormat="1" applyFill="1" applyBorder="1" applyAlignment="1">
      <alignment horizontal="center"/>
    </xf>
    <xf numFmtId="6" fontId="0" fillId="4" borderId="29" xfId="0" applyNumberFormat="1" applyFill="1" applyBorder="1" applyAlignment="1">
      <alignment horizontal="center"/>
    </xf>
    <xf numFmtId="6" fontId="0" fillId="11" borderId="27" xfId="0" applyNumberFormat="1" applyFill="1" applyBorder="1" applyAlignment="1">
      <alignment horizontal="center"/>
    </xf>
    <xf numFmtId="165" fontId="0" fillId="4" borderId="28" xfId="0" applyNumberFormat="1" applyFill="1" applyBorder="1" applyAlignment="1">
      <alignment horizontal="center" vertical="center"/>
    </xf>
    <xf numFmtId="165" fontId="0" fillId="4" borderId="33" xfId="0" applyNumberFormat="1" applyFill="1" applyBorder="1" applyAlignment="1">
      <alignment horizontal="center" vertical="center"/>
    </xf>
    <xf numFmtId="165" fontId="0" fillId="4" borderId="31" xfId="0" applyNumberFormat="1" applyFill="1" applyBorder="1" applyAlignment="1">
      <alignment horizontal="center" vertical="center"/>
    </xf>
    <xf numFmtId="6" fontId="0" fillId="11" borderId="29" xfId="0" applyNumberFormat="1" applyFill="1" applyBorder="1" applyAlignment="1">
      <alignment horizontal="center"/>
    </xf>
    <xf numFmtId="165" fontId="0" fillId="4" borderId="7" xfId="0" applyNumberFormat="1" applyFill="1" applyBorder="1" applyAlignment="1">
      <alignment horizontal="center" vertical="center"/>
    </xf>
    <xf numFmtId="9" fontId="0" fillId="4" borderId="30" xfId="0" applyNumberFormat="1" applyFill="1" applyBorder="1" applyAlignment="1">
      <alignment horizontal="center"/>
    </xf>
    <xf numFmtId="9" fontId="0" fillId="4" borderId="33" xfId="0" applyNumberFormat="1" applyFill="1" applyBorder="1" applyAlignment="1">
      <alignment horizontal="center"/>
    </xf>
    <xf numFmtId="166" fontId="0" fillId="4" borderId="56" xfId="0" applyNumberFormat="1" applyFill="1" applyBorder="1" applyAlignment="1">
      <alignment horizontal="center"/>
    </xf>
    <xf numFmtId="166" fontId="0" fillId="11" borderId="33" xfId="0" applyNumberFormat="1" applyFill="1" applyBorder="1" applyAlignment="1">
      <alignment horizontal="center"/>
    </xf>
    <xf numFmtId="166" fontId="0" fillId="11" borderId="31" xfId="0" applyNumberFormat="1" applyFill="1" applyBorder="1" applyAlignment="1">
      <alignment horizontal="center"/>
    </xf>
    <xf numFmtId="6" fontId="0" fillId="11" borderId="30" xfId="0" applyNumberFormat="1" applyFill="1" applyBorder="1" applyAlignment="1">
      <alignment horizontal="center"/>
    </xf>
    <xf numFmtId="6" fontId="0" fillId="11" borderId="33" xfId="0" applyNumberFormat="1" applyFill="1" applyBorder="1" applyAlignment="1">
      <alignment horizontal="center"/>
    </xf>
    <xf numFmtId="166" fontId="0" fillId="11" borderId="29" xfId="0" applyNumberFormat="1" applyFill="1" applyBorder="1" applyAlignment="1">
      <alignment horizontal="center"/>
    </xf>
    <xf numFmtId="9" fontId="0" fillId="4" borderId="30" xfId="0" applyNumberFormat="1" applyFill="1" applyBorder="1" applyAlignment="1">
      <alignment horizontal="center" vertical="center"/>
    </xf>
    <xf numFmtId="1" fontId="0" fillId="4" borderId="33" xfId="0" applyNumberFormat="1" applyFill="1" applyBorder="1" applyAlignment="1">
      <alignment horizontal="center" vertical="center"/>
    </xf>
    <xf numFmtId="9" fontId="0" fillId="4" borderId="7" xfId="0" applyNumberFormat="1" applyFill="1" applyBorder="1" applyAlignment="1">
      <alignment horizontal="center"/>
    </xf>
    <xf numFmtId="169" fontId="0" fillId="4" borderId="31" xfId="1" applyNumberFormat="1" applyFont="1" applyFill="1" applyBorder="1" applyAlignment="1">
      <alignment horizontal="center"/>
    </xf>
    <xf numFmtId="0" fontId="4" fillId="12" borderId="41" xfId="0" applyFont="1" applyFill="1" applyBorder="1"/>
    <xf numFmtId="166" fontId="0" fillId="11" borderId="35" xfId="0" applyNumberFormat="1" applyFill="1" applyBorder="1" applyAlignment="1">
      <alignment horizontal="center"/>
    </xf>
    <xf numFmtId="6" fontId="0" fillId="4" borderId="36" xfId="0" applyNumberFormat="1" applyFill="1" applyBorder="1" applyAlignment="1">
      <alignment horizontal="center"/>
    </xf>
    <xf numFmtId="6" fontId="0" fillId="4" borderId="7" xfId="0" applyNumberFormat="1" applyFill="1" applyBorder="1" applyAlignment="1">
      <alignment horizontal="center"/>
    </xf>
    <xf numFmtId="6" fontId="0" fillId="4" borderId="8" xfId="0" applyNumberFormat="1" applyFill="1" applyBorder="1" applyAlignment="1">
      <alignment horizontal="center"/>
    </xf>
    <xf numFmtId="6" fontId="0" fillId="11" borderId="35" xfId="0" applyNumberFormat="1" applyFill="1" applyBorder="1" applyAlignment="1">
      <alignment horizontal="center"/>
    </xf>
    <xf numFmtId="165" fontId="0" fillId="4" borderId="36" xfId="0" applyNumberFormat="1" applyFill="1" applyBorder="1" applyAlignment="1">
      <alignment horizontal="center" vertical="center"/>
    </xf>
    <xf numFmtId="165" fontId="0" fillId="4" borderId="38" xfId="0" applyNumberFormat="1" applyFill="1" applyBorder="1" applyAlignment="1">
      <alignment horizontal="center" vertical="center"/>
    </xf>
    <xf numFmtId="6" fontId="0" fillId="11" borderId="14" xfId="0" applyNumberFormat="1" applyFill="1" applyBorder="1" applyAlignment="1">
      <alignment horizontal="center"/>
    </xf>
    <xf numFmtId="6" fontId="0" fillId="11" borderId="64" xfId="0" applyNumberFormat="1" applyFill="1" applyBorder="1" applyAlignment="1">
      <alignment horizontal="center"/>
    </xf>
    <xf numFmtId="9" fontId="0" fillId="4" borderId="37" xfId="0" applyNumberFormat="1" applyFill="1" applyBorder="1" applyAlignment="1">
      <alignment horizontal="center"/>
    </xf>
    <xf numFmtId="166" fontId="0" fillId="4" borderId="7" xfId="0" applyNumberFormat="1" applyFill="1" applyBorder="1" applyAlignment="1">
      <alignment horizontal="center"/>
    </xf>
    <xf numFmtId="166" fontId="0" fillId="4" borderId="65" xfId="0" applyNumberFormat="1" applyFill="1" applyBorder="1" applyAlignment="1">
      <alignment horizontal="center"/>
    </xf>
    <xf numFmtId="166" fontId="0" fillId="11" borderId="7" xfId="0" applyNumberFormat="1" applyFill="1" applyBorder="1" applyAlignment="1">
      <alignment horizontal="center"/>
    </xf>
    <xf numFmtId="166" fontId="0" fillId="11" borderId="38" xfId="0" applyNumberFormat="1" applyFill="1" applyBorder="1" applyAlignment="1">
      <alignment horizontal="center"/>
    </xf>
    <xf numFmtId="6" fontId="0" fillId="11" borderId="37" xfId="0" applyNumberFormat="1" applyFill="1" applyBorder="1" applyAlignment="1">
      <alignment horizontal="center"/>
    </xf>
    <xf numFmtId="6" fontId="0" fillId="11" borderId="7" xfId="0" applyNumberFormat="1" applyFill="1" applyBorder="1" applyAlignment="1">
      <alignment horizontal="center"/>
    </xf>
    <xf numFmtId="166" fontId="0" fillId="11" borderId="8" xfId="0" applyNumberFormat="1" applyFill="1" applyBorder="1" applyAlignment="1">
      <alignment horizontal="center"/>
    </xf>
    <xf numFmtId="9" fontId="0" fillId="4" borderId="37" xfId="0" applyNumberFormat="1" applyFill="1" applyBorder="1" applyAlignment="1">
      <alignment horizontal="center" vertical="center"/>
    </xf>
    <xf numFmtId="1" fontId="0" fillId="4" borderId="7" xfId="0" applyNumberFormat="1" applyFill="1" applyBorder="1" applyAlignment="1">
      <alignment horizontal="center" vertical="center"/>
    </xf>
    <xf numFmtId="9" fontId="0" fillId="11" borderId="37" xfId="0" applyNumberFormat="1" applyFill="1" applyBorder="1" applyAlignment="1">
      <alignment horizontal="center"/>
    </xf>
    <xf numFmtId="166" fontId="0" fillId="3" borderId="38" xfId="0" applyNumberFormat="1" applyFill="1" applyBorder="1" applyAlignment="1">
      <alignment horizontal="center"/>
    </xf>
    <xf numFmtId="6" fontId="0" fillId="11" borderId="66" xfId="0" applyNumberFormat="1" applyFill="1" applyBorder="1" applyAlignment="1">
      <alignment horizontal="center"/>
    </xf>
    <xf numFmtId="0" fontId="4" fillId="12" borderId="49" xfId="0" applyFont="1" applyFill="1" applyBorder="1"/>
    <xf numFmtId="166" fontId="0" fillId="11" borderId="67" xfId="0" applyNumberFormat="1" applyFill="1" applyBorder="1" applyAlignment="1">
      <alignment horizontal="center"/>
    </xf>
    <xf numFmtId="6" fontId="0" fillId="4" borderId="43" xfId="0" applyNumberFormat="1" applyFill="1" applyBorder="1" applyAlignment="1">
      <alignment horizontal="center"/>
    </xf>
    <xf numFmtId="6" fontId="0" fillId="4" borderId="48" xfId="0" applyNumberFormat="1" applyFill="1" applyBorder="1" applyAlignment="1">
      <alignment horizontal="center"/>
    </xf>
    <xf numFmtId="6" fontId="0" fillId="4" borderId="44" xfId="0" applyNumberFormat="1" applyFill="1" applyBorder="1" applyAlignment="1">
      <alignment horizontal="center"/>
    </xf>
    <xf numFmtId="6" fontId="0" fillId="11" borderId="42" xfId="0" applyNumberFormat="1" applyFill="1" applyBorder="1" applyAlignment="1">
      <alignment horizontal="center"/>
    </xf>
    <xf numFmtId="165" fontId="0" fillId="4" borderId="43" xfId="0" applyNumberFormat="1" applyFill="1" applyBorder="1" applyAlignment="1">
      <alignment horizontal="center" vertical="center"/>
    </xf>
    <xf numFmtId="165" fontId="0" fillId="4" borderId="48" xfId="0" applyNumberFormat="1" applyFill="1" applyBorder="1" applyAlignment="1">
      <alignment horizontal="center" vertical="center"/>
    </xf>
    <xf numFmtId="165" fontId="0" fillId="4" borderId="46" xfId="0" applyNumberFormat="1" applyFill="1" applyBorder="1" applyAlignment="1">
      <alignment horizontal="center" vertical="center"/>
    </xf>
    <xf numFmtId="6" fontId="0" fillId="11" borderId="59" xfId="0" applyNumberFormat="1" applyFill="1" applyBorder="1" applyAlignment="1">
      <alignment horizontal="center"/>
    </xf>
    <xf numFmtId="165" fontId="0" fillId="4" borderId="44" xfId="0" applyNumberFormat="1" applyFill="1" applyBorder="1" applyAlignment="1">
      <alignment horizontal="center" vertical="center"/>
    </xf>
    <xf numFmtId="6" fontId="0" fillId="11" borderId="60" xfId="0" applyNumberFormat="1" applyFill="1" applyBorder="1" applyAlignment="1">
      <alignment horizontal="center"/>
    </xf>
    <xf numFmtId="9" fontId="0" fillId="4" borderId="68" xfId="0" applyNumberFormat="1" applyFill="1" applyBorder="1" applyAlignment="1">
      <alignment horizontal="center"/>
    </xf>
    <xf numFmtId="166" fontId="12" fillId="4" borderId="4" xfId="0" applyNumberFormat="1" applyFont="1" applyFill="1" applyBorder="1" applyAlignment="1">
      <alignment horizontal="center"/>
    </xf>
    <xf numFmtId="166" fontId="0" fillId="4" borderId="61" xfId="0" applyNumberFormat="1" applyFill="1" applyBorder="1" applyAlignment="1">
      <alignment horizontal="center"/>
    </xf>
    <xf numFmtId="166" fontId="0" fillId="4" borderId="69" xfId="0" applyNumberFormat="1" applyFill="1" applyBorder="1" applyAlignment="1">
      <alignment horizontal="center"/>
    </xf>
    <xf numFmtId="166" fontId="0" fillId="11" borderId="4" xfId="0" applyNumberFormat="1" applyFill="1" applyBorder="1" applyAlignment="1">
      <alignment horizontal="center"/>
    </xf>
    <xf numFmtId="166" fontId="0" fillId="11" borderId="61" xfId="0" applyNumberFormat="1" applyFill="1" applyBorder="1" applyAlignment="1">
      <alignment horizontal="center"/>
    </xf>
    <xf numFmtId="6" fontId="0" fillId="11" borderId="68" xfId="0" applyNumberFormat="1" applyFill="1" applyBorder="1" applyAlignment="1">
      <alignment horizontal="center"/>
    </xf>
    <xf numFmtId="6" fontId="0" fillId="11" borderId="4" xfId="0" applyNumberFormat="1" applyFill="1" applyBorder="1" applyAlignment="1">
      <alignment horizontal="center"/>
    </xf>
    <xf numFmtId="166" fontId="0" fillId="11" borderId="11" xfId="0" applyNumberFormat="1" applyFill="1" applyBorder="1" applyAlignment="1">
      <alignment horizontal="center"/>
    </xf>
    <xf numFmtId="0" fontId="4" fillId="12" borderId="70" xfId="0" applyFont="1" applyFill="1" applyBorder="1"/>
    <xf numFmtId="166" fontId="0" fillId="11" borderId="1" xfId="0" applyNumberFormat="1" applyFill="1" applyBorder="1" applyAlignment="1">
      <alignment horizontal="center"/>
    </xf>
    <xf numFmtId="6" fontId="0" fillId="4" borderId="12" xfId="0" applyNumberFormat="1" applyFill="1" applyBorder="1" applyAlignment="1">
      <alignment horizontal="center"/>
    </xf>
    <xf numFmtId="6" fontId="0" fillId="4" borderId="3" xfId="0" applyNumberFormat="1" applyFill="1" applyBorder="1" applyAlignment="1">
      <alignment horizontal="center"/>
    </xf>
    <xf numFmtId="6" fontId="0" fillId="4" borderId="10" xfId="0" applyNumberFormat="1" applyFill="1" applyBorder="1" applyAlignment="1">
      <alignment horizontal="center"/>
    </xf>
    <xf numFmtId="6" fontId="0" fillId="11" borderId="71" xfId="0" applyNumberFormat="1" applyFill="1" applyBorder="1" applyAlignment="1">
      <alignment horizontal="center"/>
    </xf>
    <xf numFmtId="165" fontId="0" fillId="4" borderId="12" xfId="0" applyNumberFormat="1" applyFill="1" applyBorder="1" applyAlignment="1">
      <alignment horizontal="center" vertical="center"/>
    </xf>
    <xf numFmtId="165" fontId="0" fillId="4" borderId="3" xfId="0" applyNumberFormat="1" applyFill="1" applyBorder="1" applyAlignment="1">
      <alignment horizontal="center" vertical="center"/>
    </xf>
    <xf numFmtId="165" fontId="0" fillId="4" borderId="63" xfId="0" applyNumberFormat="1" applyFill="1" applyBorder="1" applyAlignment="1">
      <alignment horizontal="center" vertical="center"/>
    </xf>
    <xf numFmtId="6" fontId="0" fillId="11" borderId="63" xfId="0" applyNumberFormat="1" applyFill="1" applyBorder="1" applyAlignment="1">
      <alignment horizontal="center"/>
    </xf>
    <xf numFmtId="9" fontId="0" fillId="4" borderId="23" xfId="0" applyNumberFormat="1" applyFill="1" applyBorder="1" applyAlignment="1">
      <alignment horizontal="center"/>
    </xf>
    <xf numFmtId="166" fontId="0" fillId="4" borderId="25" xfId="0" applyNumberFormat="1" applyFill="1" applyBorder="1" applyAlignment="1">
      <alignment horizontal="center"/>
    </xf>
    <xf numFmtId="166" fontId="0" fillId="4" borderId="24" xfId="0" applyNumberFormat="1" applyFill="1" applyBorder="1" applyAlignment="1">
      <alignment horizontal="center"/>
    </xf>
    <xf numFmtId="166" fontId="0" fillId="4" borderId="2" xfId="0" applyNumberFormat="1" applyFill="1" applyBorder="1" applyAlignment="1">
      <alignment horizontal="center"/>
    </xf>
    <xf numFmtId="166" fontId="0" fillId="11" borderId="25" xfId="0" applyNumberFormat="1" applyFill="1" applyBorder="1" applyAlignment="1">
      <alignment horizontal="center"/>
    </xf>
    <xf numFmtId="166" fontId="0" fillId="11" borderId="24" xfId="0" applyNumberFormat="1" applyFill="1" applyBorder="1" applyAlignment="1">
      <alignment horizontal="center"/>
    </xf>
    <xf numFmtId="6" fontId="0" fillId="11" borderId="23" xfId="0" applyNumberFormat="1" applyFill="1" applyBorder="1" applyAlignment="1">
      <alignment horizontal="center"/>
    </xf>
    <xf numFmtId="6" fontId="0" fillId="11" borderId="25" xfId="0" applyNumberFormat="1" applyFill="1" applyBorder="1" applyAlignment="1">
      <alignment horizontal="center"/>
    </xf>
    <xf numFmtId="166" fontId="0" fillId="11" borderId="22" xfId="0" applyNumberFormat="1" applyFill="1" applyBorder="1" applyAlignment="1">
      <alignment horizontal="center"/>
    </xf>
    <xf numFmtId="0" fontId="4" fillId="12" borderId="55" xfId="0" applyFont="1" applyFill="1" applyBorder="1"/>
    <xf numFmtId="166" fontId="0" fillId="11" borderId="27" xfId="0" applyNumberFormat="1" applyFill="1" applyBorder="1" applyAlignment="1">
      <alignment horizontal="center"/>
    </xf>
    <xf numFmtId="165" fontId="0" fillId="4" borderId="29" xfId="0" applyNumberFormat="1" applyFill="1" applyBorder="1" applyAlignment="1">
      <alignment horizontal="center" vertical="center"/>
    </xf>
    <xf numFmtId="9" fontId="0" fillId="11" borderId="40" xfId="0" applyNumberFormat="1" applyFill="1" applyBorder="1" applyAlignment="1">
      <alignment horizontal="center"/>
    </xf>
    <xf numFmtId="166" fontId="0" fillId="11" borderId="15" xfId="0" applyNumberFormat="1" applyFill="1" applyBorder="1" applyAlignment="1">
      <alignment horizontal="center"/>
    </xf>
    <xf numFmtId="166" fontId="0" fillId="13" borderId="66" xfId="0" applyNumberFormat="1" applyFill="1" applyBorder="1" applyAlignment="1">
      <alignment horizontal="center"/>
    </xf>
    <xf numFmtId="166" fontId="0" fillId="11" borderId="72" xfId="0" applyNumberFormat="1" applyFill="1" applyBorder="1" applyAlignment="1">
      <alignment horizontal="center"/>
    </xf>
    <xf numFmtId="6" fontId="0" fillId="11" borderId="15" xfId="0" applyNumberFormat="1" applyFill="1" applyBorder="1" applyAlignment="1">
      <alignment horizontal="center"/>
    </xf>
    <xf numFmtId="166" fontId="0" fillId="11" borderId="14" xfId="0" applyNumberFormat="1" applyFill="1" applyBorder="1" applyAlignment="1">
      <alignment horizontal="center"/>
    </xf>
    <xf numFmtId="166" fontId="0" fillId="13" borderId="38" xfId="0" applyNumberFormat="1" applyFill="1" applyBorder="1" applyAlignment="1">
      <alignment horizontal="center"/>
    </xf>
    <xf numFmtId="166" fontId="0" fillId="11" borderId="66" xfId="0" applyNumberFormat="1" applyFill="1" applyBorder="1" applyAlignment="1">
      <alignment horizontal="center"/>
    </xf>
    <xf numFmtId="166" fontId="12" fillId="4" borderId="7" xfId="0" applyNumberFormat="1" applyFont="1" applyFill="1" applyBorder="1" applyAlignment="1">
      <alignment horizontal="center"/>
    </xf>
    <xf numFmtId="166" fontId="0" fillId="11" borderId="42" xfId="0" applyNumberFormat="1" applyFill="1" applyBorder="1" applyAlignment="1">
      <alignment horizontal="center"/>
    </xf>
    <xf numFmtId="6" fontId="0" fillId="11" borderId="73" xfId="0" applyNumberFormat="1" applyFill="1" applyBorder="1" applyAlignment="1">
      <alignment horizontal="center"/>
    </xf>
    <xf numFmtId="166" fontId="0" fillId="11" borderId="69" xfId="0" applyNumberFormat="1" applyFill="1" applyBorder="1" applyAlignment="1">
      <alignment horizontal="center"/>
    </xf>
    <xf numFmtId="166" fontId="0" fillId="11" borderId="48" xfId="0" applyNumberFormat="1" applyFill="1" applyBorder="1" applyAlignment="1">
      <alignment horizontal="center"/>
    </xf>
    <xf numFmtId="166" fontId="0" fillId="11" borderId="59" xfId="0" applyNumberFormat="1" applyFill="1" applyBorder="1" applyAlignment="1">
      <alignment horizontal="center"/>
    </xf>
    <xf numFmtId="166" fontId="0" fillId="4" borderId="59" xfId="0" applyNumberFormat="1" applyFill="1" applyBorder="1" applyAlignment="1">
      <alignment horizontal="center"/>
    </xf>
    <xf numFmtId="6" fontId="0" fillId="11" borderId="45" xfId="0" applyNumberFormat="1" applyFill="1" applyBorder="1" applyAlignment="1">
      <alignment horizontal="center"/>
    </xf>
    <xf numFmtId="6" fontId="0" fillId="11" borderId="31" xfId="0" applyNumberFormat="1" applyFill="1" applyBorder="1" applyAlignment="1">
      <alignment horizontal="center"/>
    </xf>
    <xf numFmtId="165" fontId="0" fillId="4" borderId="15" xfId="0" applyNumberFormat="1" applyFill="1" applyBorder="1" applyAlignment="1">
      <alignment horizontal="center" vertical="center"/>
    </xf>
    <xf numFmtId="9" fontId="0" fillId="11" borderId="30" xfId="0" applyNumberFormat="1" applyFill="1" applyBorder="1" applyAlignment="1">
      <alignment horizontal="center"/>
    </xf>
    <xf numFmtId="166" fontId="0" fillId="14" borderId="31" xfId="0" applyNumberFormat="1" applyFill="1" applyBorder="1" applyAlignment="1">
      <alignment horizontal="center"/>
    </xf>
    <xf numFmtId="6" fontId="0" fillId="11" borderId="40" xfId="0" applyNumberFormat="1" applyFill="1" applyBorder="1" applyAlignment="1">
      <alignment horizontal="center"/>
    </xf>
    <xf numFmtId="6" fontId="0" fillId="11" borderId="67" xfId="0" applyNumberFormat="1" applyFill="1" applyBorder="1" applyAlignment="1">
      <alignment horizontal="center"/>
    </xf>
    <xf numFmtId="9" fontId="0" fillId="4" borderId="45" xfId="0" applyNumberFormat="1" applyFill="1" applyBorder="1" applyAlignment="1">
      <alignment horizontal="center"/>
    </xf>
    <xf numFmtId="166" fontId="0" fillId="4" borderId="48" xfId="0" applyNumberFormat="1" applyFill="1" applyBorder="1" applyAlignment="1">
      <alignment horizontal="center"/>
    </xf>
    <xf numFmtId="166" fontId="0" fillId="4" borderId="74" xfId="0" applyNumberFormat="1" applyFill="1" applyBorder="1" applyAlignment="1">
      <alignment horizontal="center"/>
    </xf>
    <xf numFmtId="166" fontId="0" fillId="11" borderId="46" xfId="0" applyNumberFormat="1" applyFill="1" applyBorder="1" applyAlignment="1">
      <alignment horizontal="center"/>
    </xf>
    <xf numFmtId="6" fontId="0" fillId="11" borderId="48" xfId="0" applyNumberFormat="1" applyFill="1" applyBorder="1" applyAlignment="1">
      <alignment horizontal="center"/>
    </xf>
    <xf numFmtId="166" fontId="0" fillId="11" borderId="44" xfId="0" applyNumberFormat="1" applyFill="1" applyBorder="1" applyAlignment="1">
      <alignment horizontal="center"/>
    </xf>
    <xf numFmtId="166" fontId="0" fillId="3" borderId="66" xfId="0" applyNumberFormat="1" applyFill="1" applyBorder="1" applyAlignment="1">
      <alignment horizontal="center"/>
    </xf>
    <xf numFmtId="166" fontId="0" fillId="4" borderId="72" xfId="0" applyNumberFormat="1" applyFill="1" applyBorder="1" applyAlignment="1">
      <alignment horizontal="center"/>
    </xf>
    <xf numFmtId="166" fontId="0" fillId="4" borderId="4" xfId="0" applyNumberFormat="1" applyFill="1" applyBorder="1" applyAlignment="1">
      <alignment horizontal="center"/>
    </xf>
    <xf numFmtId="172" fontId="0" fillId="4" borderId="28" xfId="0" applyNumberFormat="1" applyFill="1" applyBorder="1" applyAlignment="1">
      <alignment horizontal="center"/>
    </xf>
    <xf numFmtId="172" fontId="0" fillId="4" borderId="33" xfId="0" applyNumberFormat="1" applyFill="1" applyBorder="1" applyAlignment="1">
      <alignment horizontal="center"/>
    </xf>
    <xf numFmtId="172" fontId="0" fillId="4" borderId="29" xfId="0" applyNumberFormat="1" applyFill="1" applyBorder="1" applyAlignment="1">
      <alignment horizontal="center"/>
    </xf>
    <xf numFmtId="172" fontId="0" fillId="4" borderId="36" xfId="0" applyNumberFormat="1" applyFill="1" applyBorder="1" applyAlignment="1">
      <alignment horizontal="center"/>
    </xf>
    <xf numFmtId="172" fontId="0" fillId="4" borderId="7" xfId="0" applyNumberFormat="1" applyFill="1" applyBorder="1" applyAlignment="1">
      <alignment horizontal="center"/>
    </xf>
    <xf numFmtId="172" fontId="0" fillId="4" borderId="8" xfId="0" applyNumberFormat="1" applyFill="1" applyBorder="1" applyAlignment="1">
      <alignment horizontal="center"/>
    </xf>
    <xf numFmtId="166" fontId="0" fillId="2" borderId="31" xfId="0" applyNumberFormat="1" applyFill="1" applyBorder="1" applyAlignment="1">
      <alignment horizontal="center"/>
    </xf>
    <xf numFmtId="166" fontId="0" fillId="2" borderId="38" xfId="0" applyNumberFormat="1" applyFill="1" applyBorder="1" applyAlignment="1">
      <alignment horizontal="center"/>
    </xf>
    <xf numFmtId="173" fontId="0" fillId="4" borderId="43" xfId="0" applyNumberFormat="1" applyFill="1" applyBorder="1" applyAlignment="1">
      <alignment horizontal="center"/>
    </xf>
    <xf numFmtId="173" fontId="0" fillId="4" borderId="48" xfId="0" applyNumberFormat="1" applyFill="1" applyBorder="1" applyAlignment="1">
      <alignment horizontal="center"/>
    </xf>
    <xf numFmtId="173" fontId="0" fillId="4" borderId="44" xfId="0" applyNumberFormat="1" applyFill="1" applyBorder="1" applyAlignment="1">
      <alignment horizontal="center"/>
    </xf>
    <xf numFmtId="173" fontId="0" fillId="4" borderId="75" xfId="0" applyNumberFormat="1" applyFill="1" applyBorder="1" applyAlignment="1">
      <alignment horizontal="center"/>
    </xf>
    <xf numFmtId="0" fontId="4" fillId="12" borderId="5" xfId="0" applyFont="1" applyFill="1" applyBorder="1"/>
    <xf numFmtId="6" fontId="0" fillId="4" borderId="21" xfId="0" applyNumberFormat="1" applyFill="1" applyBorder="1" applyAlignment="1">
      <alignment horizontal="center"/>
    </xf>
    <xf numFmtId="6" fontId="0" fillId="4" borderId="25" xfId="0" applyNumberFormat="1" applyFill="1" applyBorder="1" applyAlignment="1">
      <alignment horizontal="center"/>
    </xf>
    <xf numFmtId="6" fontId="0" fillId="4" borderId="22" xfId="0" applyNumberFormat="1" applyFill="1" applyBorder="1" applyAlignment="1">
      <alignment horizontal="center"/>
    </xf>
    <xf numFmtId="6" fontId="0" fillId="11" borderId="1" xfId="0" applyNumberFormat="1" applyFill="1" applyBorder="1" applyAlignment="1">
      <alignment horizontal="center"/>
    </xf>
    <xf numFmtId="165" fontId="0" fillId="4" borderId="21" xfId="0" applyNumberFormat="1" applyFill="1" applyBorder="1" applyAlignment="1">
      <alignment horizontal="center" vertical="center"/>
    </xf>
    <xf numFmtId="165" fontId="0" fillId="4" borderId="25" xfId="0" applyNumberFormat="1" applyFill="1" applyBorder="1" applyAlignment="1">
      <alignment horizontal="center" vertical="center"/>
    </xf>
    <xf numFmtId="165" fontId="0" fillId="4" borderId="24" xfId="0" applyNumberFormat="1" applyFill="1" applyBorder="1" applyAlignment="1">
      <alignment horizontal="center" vertical="center"/>
    </xf>
    <xf numFmtId="6" fontId="0" fillId="11" borderId="24" xfId="0" applyNumberFormat="1" applyFill="1" applyBorder="1" applyAlignment="1">
      <alignment horizontal="center"/>
    </xf>
    <xf numFmtId="0" fontId="0" fillId="4" borderId="37" xfId="0" applyFill="1" applyBorder="1"/>
    <xf numFmtId="0" fontId="0" fillId="4" borderId="7" xfId="0" applyFill="1" applyBorder="1" applyAlignment="1">
      <alignment horizontal="right"/>
    </xf>
    <xf numFmtId="166" fontId="0" fillId="4" borderId="36" xfId="0" applyNumberFormat="1" applyFill="1" applyBorder="1" applyAlignment="1">
      <alignment horizontal="center"/>
    </xf>
    <xf numFmtId="6" fontId="0" fillId="15" borderId="64" xfId="0" applyNumberFormat="1" applyFill="1" applyBorder="1" applyAlignment="1">
      <alignment horizontal="center"/>
    </xf>
    <xf numFmtId="166" fontId="0" fillId="4" borderId="66" xfId="0" applyNumberFormat="1" applyFill="1" applyBorder="1" applyAlignment="1">
      <alignment horizontal="center"/>
    </xf>
    <xf numFmtId="6" fontId="0" fillId="15" borderId="35" xfId="0" applyNumberFormat="1" applyFill="1" applyBorder="1" applyAlignment="1">
      <alignment horizontal="center"/>
    </xf>
    <xf numFmtId="0" fontId="0" fillId="4" borderId="45" xfId="0" applyFill="1" applyBorder="1"/>
    <xf numFmtId="0" fontId="0" fillId="4" borderId="48" xfId="0" applyFill="1" applyBorder="1" applyAlignment="1">
      <alignment horizontal="right"/>
    </xf>
    <xf numFmtId="166" fontId="0" fillId="3" borderId="46" xfId="0" applyNumberFormat="1" applyFill="1" applyBorder="1" applyAlignment="1">
      <alignment horizontal="center"/>
    </xf>
    <xf numFmtId="6" fontId="0" fillId="15" borderId="67" xfId="0" applyNumberFormat="1" applyFill="1" applyBorder="1" applyAlignment="1">
      <alignment horizontal="center"/>
    </xf>
    <xf numFmtId="9" fontId="0" fillId="4" borderId="68" xfId="0" applyNumberFormat="1" applyFill="1" applyBorder="1" applyAlignment="1">
      <alignment horizontal="center" vertical="center"/>
    </xf>
    <xf numFmtId="1" fontId="0" fillId="4" borderId="4" xfId="0" applyNumberFormat="1" applyFill="1" applyBorder="1" applyAlignment="1">
      <alignment horizontal="center" vertical="center"/>
    </xf>
    <xf numFmtId="165" fontId="0" fillId="4" borderId="28" xfId="0" applyNumberFormat="1" applyFill="1" applyBorder="1" applyAlignment="1">
      <alignment horizontal="center"/>
    </xf>
    <xf numFmtId="165" fontId="0" fillId="4" borderId="33" xfId="0" applyNumberFormat="1" applyFill="1" applyBorder="1" applyAlignment="1">
      <alignment horizontal="center"/>
    </xf>
    <xf numFmtId="165" fontId="0" fillId="3" borderId="29" xfId="0" applyNumberFormat="1" applyFill="1" applyBorder="1" applyAlignment="1">
      <alignment horizontal="center"/>
    </xf>
    <xf numFmtId="6" fontId="0" fillId="3" borderId="35" xfId="0" applyNumberFormat="1" applyFill="1" applyBorder="1" applyAlignment="1">
      <alignment horizontal="center"/>
    </xf>
    <xf numFmtId="174" fontId="0" fillId="11" borderId="28" xfId="0" applyNumberFormat="1" applyFill="1" applyBorder="1" applyAlignment="1">
      <alignment horizontal="center" vertical="center"/>
    </xf>
    <xf numFmtId="6" fontId="1" fillId="4" borderId="25" xfId="0" applyNumberFormat="1" applyFont="1" applyFill="1" applyBorder="1" applyAlignment="1">
      <alignment horizontal="center" vertical="center"/>
    </xf>
    <xf numFmtId="1" fontId="0" fillId="4" borderId="25" xfId="0" applyNumberFormat="1" applyFill="1" applyBorder="1" applyAlignment="1">
      <alignment horizontal="center"/>
    </xf>
    <xf numFmtId="9" fontId="0" fillId="4" borderId="25" xfId="0" applyNumberFormat="1" applyFill="1" applyBorder="1" applyAlignment="1">
      <alignment horizontal="center"/>
    </xf>
    <xf numFmtId="169" fontId="0" fillId="4" borderId="24" xfId="1" applyNumberFormat="1" applyFont="1" applyFill="1" applyBorder="1" applyAlignment="1">
      <alignment horizontal="center"/>
    </xf>
    <xf numFmtId="165" fontId="0" fillId="4" borderId="36" xfId="0" applyNumberFormat="1" applyFill="1" applyBorder="1" applyAlignment="1">
      <alignment horizontal="center"/>
    </xf>
    <xf numFmtId="165" fontId="0" fillId="3" borderId="8" xfId="0" applyNumberFormat="1" applyFill="1" applyBorder="1" applyAlignment="1">
      <alignment horizontal="center"/>
    </xf>
    <xf numFmtId="165" fontId="0" fillId="15" borderId="36" xfId="0" applyNumberFormat="1" applyFill="1" applyBorder="1" applyAlignment="1">
      <alignment horizontal="center" vertical="center"/>
    </xf>
    <xf numFmtId="165" fontId="0" fillId="15" borderId="7" xfId="0" applyNumberFormat="1" applyFill="1" applyBorder="1" applyAlignment="1">
      <alignment horizontal="center" vertical="center"/>
    </xf>
    <xf numFmtId="165" fontId="0" fillId="15" borderId="38" xfId="0" applyNumberFormat="1" applyFill="1" applyBorder="1" applyAlignment="1">
      <alignment horizontal="center" vertical="center"/>
    </xf>
    <xf numFmtId="6" fontId="0" fillId="15" borderId="66" xfId="0" applyNumberFormat="1" applyFill="1" applyBorder="1" applyAlignment="1">
      <alignment horizontal="center"/>
    </xf>
    <xf numFmtId="165" fontId="0" fillId="4" borderId="43" xfId="0" applyNumberFormat="1" applyFill="1" applyBorder="1" applyAlignment="1">
      <alignment horizontal="center"/>
    </xf>
    <xf numFmtId="165" fontId="0" fillId="4" borderId="48" xfId="0" applyNumberFormat="1" applyFill="1" applyBorder="1" applyAlignment="1">
      <alignment horizontal="center"/>
    </xf>
    <xf numFmtId="165" fontId="0" fillId="3" borderId="44" xfId="0" applyNumberFormat="1" applyFill="1" applyBorder="1" applyAlignment="1">
      <alignment horizontal="center"/>
    </xf>
    <xf numFmtId="6" fontId="0" fillId="3" borderId="42" xfId="0" applyNumberFormat="1" applyFill="1" applyBorder="1" applyAlignment="1">
      <alignment horizontal="center"/>
    </xf>
    <xf numFmtId="165" fontId="0" fillId="15" borderId="43" xfId="0" applyNumberFormat="1" applyFill="1" applyBorder="1" applyAlignment="1">
      <alignment horizontal="center" vertical="center"/>
    </xf>
    <xf numFmtId="165" fontId="0" fillId="15" borderId="48" xfId="0" applyNumberFormat="1" applyFill="1" applyBorder="1" applyAlignment="1">
      <alignment horizontal="center" vertical="center"/>
    </xf>
    <xf numFmtId="165" fontId="0" fillId="15" borderId="46" xfId="0" applyNumberFormat="1" applyFill="1" applyBorder="1" applyAlignment="1">
      <alignment horizontal="center" vertical="center"/>
    </xf>
    <xf numFmtId="6" fontId="0" fillId="15" borderId="59" xfId="0" applyNumberFormat="1" applyFill="1" applyBorder="1" applyAlignment="1">
      <alignment horizontal="center"/>
    </xf>
    <xf numFmtId="165" fontId="0" fillId="4" borderId="21" xfId="0" applyNumberFormat="1" applyFill="1" applyBorder="1" applyAlignment="1">
      <alignment horizontal="center"/>
    </xf>
    <xf numFmtId="165" fontId="0" fillId="4" borderId="25" xfId="0" applyNumberFormat="1" applyFill="1" applyBorder="1" applyAlignment="1">
      <alignment horizontal="center"/>
    </xf>
    <xf numFmtId="165" fontId="0" fillId="3" borderId="22" xfId="0" applyNumberFormat="1" applyFill="1" applyBorder="1" applyAlignment="1">
      <alignment horizontal="center"/>
    </xf>
    <xf numFmtId="6" fontId="0" fillId="3" borderId="1" xfId="0" applyNumberFormat="1" applyFill="1" applyBorder="1" applyAlignment="1">
      <alignment horizontal="center"/>
    </xf>
    <xf numFmtId="165" fontId="0" fillId="15" borderId="21" xfId="0" applyNumberFormat="1" applyFill="1" applyBorder="1" applyAlignment="1">
      <alignment horizontal="center" vertical="center"/>
    </xf>
    <xf numFmtId="165" fontId="0" fillId="15" borderId="25" xfId="0" applyNumberFormat="1" applyFill="1" applyBorder="1" applyAlignment="1">
      <alignment horizontal="center" vertical="center"/>
    </xf>
    <xf numFmtId="165" fontId="0" fillId="15" borderId="24" xfId="0" applyNumberFormat="1" applyFill="1" applyBorder="1" applyAlignment="1">
      <alignment horizontal="center" vertical="center"/>
    </xf>
    <xf numFmtId="6" fontId="0" fillId="15" borderId="24" xfId="0" applyNumberFormat="1" applyFill="1" applyBorder="1" applyAlignment="1">
      <alignment horizontal="center"/>
    </xf>
    <xf numFmtId="0" fontId="4" fillId="12" borderId="19" xfId="0" applyFont="1" applyFill="1" applyBorder="1"/>
    <xf numFmtId="0" fontId="0" fillId="4" borderId="71" xfId="0" applyFill="1" applyBorder="1"/>
    <xf numFmtId="9" fontId="0" fillId="4" borderId="76" xfId="0" applyNumberFormat="1" applyFill="1" applyBorder="1" applyAlignment="1">
      <alignment horizontal="center"/>
    </xf>
    <xf numFmtId="9" fontId="0" fillId="4" borderId="58" xfId="0" applyNumberFormat="1" applyFill="1" applyBorder="1" applyAlignment="1">
      <alignment horizontal="center"/>
    </xf>
    <xf numFmtId="10" fontId="0" fillId="3" borderId="77" xfId="0" applyNumberFormat="1" applyFill="1" applyBorder="1" applyAlignment="1">
      <alignment horizontal="center"/>
    </xf>
    <xf numFmtId="10" fontId="0" fillId="3" borderId="71" xfId="0" applyNumberFormat="1" applyFill="1" applyBorder="1" applyAlignment="1">
      <alignment horizontal="center"/>
    </xf>
    <xf numFmtId="165" fontId="0" fillId="15" borderId="12" xfId="0" applyNumberFormat="1" applyFill="1" applyBorder="1" applyAlignment="1">
      <alignment horizontal="center" vertical="center"/>
    </xf>
    <xf numFmtId="165" fontId="0" fillId="15" borderId="3" xfId="0" applyNumberFormat="1" applyFill="1" applyBorder="1" applyAlignment="1">
      <alignment horizontal="center" vertical="center"/>
    </xf>
    <xf numFmtId="165" fontId="0" fillId="15" borderId="63" xfId="0" applyNumberFormat="1" applyFill="1" applyBorder="1" applyAlignment="1">
      <alignment horizontal="center" vertical="center"/>
    </xf>
    <xf numFmtId="6" fontId="0" fillId="15" borderId="63" xfId="0" applyNumberFormat="1" applyFill="1" applyBorder="1" applyAlignment="1">
      <alignment horizontal="center"/>
    </xf>
    <xf numFmtId="0" fontId="1" fillId="4" borderId="1" xfId="0" applyFont="1" applyFill="1" applyBorder="1" applyAlignment="1">
      <alignment horizontal="center"/>
    </xf>
    <xf numFmtId="166" fontId="1" fillId="4" borderId="21" xfId="0" applyNumberFormat="1" applyFont="1" applyFill="1" applyBorder="1" applyAlignment="1">
      <alignment horizontal="center"/>
    </xf>
    <xf numFmtId="0" fontId="0" fillId="15" borderId="25" xfId="0" applyFill="1" applyBorder="1"/>
    <xf numFmtId="0" fontId="3" fillId="12" borderId="23" xfId="0" applyFont="1" applyFill="1" applyBorder="1" applyAlignment="1">
      <alignment horizontal="center" vertical="center"/>
    </xf>
    <xf numFmtId="0" fontId="3" fillId="12" borderId="25" xfId="0" applyFont="1" applyFill="1" applyBorder="1" applyAlignment="1">
      <alignment horizontal="center" vertical="center"/>
    </xf>
    <xf numFmtId="0" fontId="3" fillId="12" borderId="25" xfId="0" applyFont="1" applyFill="1" applyBorder="1" applyAlignment="1">
      <alignment horizontal="center"/>
    </xf>
    <xf numFmtId="0" fontId="3" fillId="12" borderId="22" xfId="0" applyFont="1" applyFill="1" applyBorder="1" applyAlignment="1">
      <alignment horizontal="center"/>
    </xf>
    <xf numFmtId="0" fontId="3" fillId="12" borderId="7" xfId="0" applyFont="1" applyFill="1" applyBorder="1" applyAlignment="1">
      <alignment horizontal="center" vertical="center"/>
    </xf>
    <xf numFmtId="0" fontId="3" fillId="12" borderId="40" xfId="0" applyFont="1" applyFill="1" applyBorder="1" applyAlignment="1">
      <alignment horizontal="left" vertical="center" wrapText="1"/>
    </xf>
    <xf numFmtId="175" fontId="0" fillId="4" borderId="14" xfId="0" applyNumberFormat="1" applyFill="1" applyBorder="1" applyAlignment="1">
      <alignment horizontal="center" vertical="center"/>
    </xf>
    <xf numFmtId="0" fontId="3" fillId="12" borderId="37" xfId="0" applyFont="1" applyFill="1" applyBorder="1" applyAlignment="1">
      <alignment horizontal="center" vertical="center"/>
    </xf>
    <xf numFmtId="0" fontId="3" fillId="12" borderId="37" xfId="0" applyFont="1" applyFill="1" applyBorder="1" applyAlignment="1">
      <alignment horizontal="left" vertical="center" wrapText="1"/>
    </xf>
    <xf numFmtId="175" fontId="0" fillId="4" borderId="8" xfId="0" applyNumberFormat="1" applyFill="1" applyBorder="1" applyAlignment="1">
      <alignment horizontal="center" vertical="center"/>
    </xf>
    <xf numFmtId="175" fontId="0" fillId="4" borderId="38" xfId="0" applyNumberFormat="1" applyFill="1" applyBorder="1" applyAlignment="1">
      <alignment horizontal="center" vertical="center"/>
    </xf>
    <xf numFmtId="0" fontId="3" fillId="12" borderId="7" xfId="0" applyFont="1" applyFill="1" applyBorder="1" applyAlignment="1">
      <alignment horizontal="center"/>
    </xf>
    <xf numFmtId="171" fontId="0" fillId="4" borderId="38" xfId="0" applyNumberFormat="1" applyFill="1" applyBorder="1" applyAlignment="1">
      <alignment vertical="center"/>
    </xf>
    <xf numFmtId="0" fontId="3" fillId="12" borderId="45" xfId="0" applyFont="1" applyFill="1" applyBorder="1" applyAlignment="1">
      <alignment horizontal="center" vertical="center"/>
    </xf>
    <xf numFmtId="9" fontId="0" fillId="4" borderId="46" xfId="0" applyNumberFormat="1" applyFill="1" applyBorder="1" applyAlignment="1">
      <alignment vertical="center"/>
    </xf>
    <xf numFmtId="0" fontId="3" fillId="12" borderId="45" xfId="0" applyFont="1" applyFill="1" applyBorder="1" applyAlignment="1">
      <alignment horizontal="left" vertical="center" wrapText="1"/>
    </xf>
    <xf numFmtId="175" fontId="0" fillId="4" borderId="46" xfId="0" applyNumberFormat="1" applyFill="1" applyBorder="1" applyAlignment="1">
      <alignment horizontal="center" vertical="center"/>
    </xf>
    <xf numFmtId="0" fontId="3" fillId="12" borderId="34" xfId="0" applyFont="1" applyFill="1" applyBorder="1"/>
    <xf numFmtId="165" fontId="0" fillId="11" borderId="30" xfId="0" applyNumberFormat="1" applyFill="1" applyBorder="1"/>
    <xf numFmtId="9" fontId="0" fillId="11" borderId="33" xfId="0" applyNumberFormat="1" applyFill="1" applyBorder="1"/>
    <xf numFmtId="165" fontId="0" fillId="11" borderId="33" xfId="0" applyNumberFormat="1" applyFill="1" applyBorder="1"/>
    <xf numFmtId="165" fontId="0" fillId="11" borderId="31" xfId="0" applyNumberFormat="1" applyFill="1" applyBorder="1"/>
    <xf numFmtId="0" fontId="3" fillId="12" borderId="78" xfId="0" applyFont="1" applyFill="1" applyBorder="1"/>
    <xf numFmtId="165" fontId="0" fillId="11" borderId="68" xfId="0" applyNumberFormat="1" applyFill="1" applyBorder="1"/>
    <xf numFmtId="9" fontId="0" fillId="11" borderId="48" xfId="0" applyNumberFormat="1" applyFill="1" applyBorder="1"/>
    <xf numFmtId="165" fontId="0" fillId="11" borderId="48" xfId="0" applyNumberFormat="1" applyFill="1" applyBorder="1"/>
    <xf numFmtId="0" fontId="0" fillId="4" borderId="48" xfId="0" applyFill="1" applyBorder="1"/>
    <xf numFmtId="165" fontId="0" fillId="11" borderId="46" xfId="0" applyNumberFormat="1" applyFill="1" applyBorder="1"/>
    <xf numFmtId="0" fontId="8" fillId="4" borderId="5" xfId="0" applyFont="1" applyFill="1" applyBorder="1"/>
    <xf numFmtId="165" fontId="8" fillId="11" borderId="1" xfId="0" applyNumberFormat="1" applyFont="1" applyFill="1" applyBorder="1"/>
    <xf numFmtId="9" fontId="0" fillId="4" borderId="0" xfId="0" applyNumberFormat="1" applyFill="1"/>
    <xf numFmtId="165" fontId="0" fillId="4" borderId="0" xfId="0" applyNumberFormat="1" applyFill="1"/>
    <xf numFmtId="165" fontId="13" fillId="11" borderId="1" xfId="0" applyNumberFormat="1" applyFont="1" applyFill="1" applyBorder="1"/>
    <xf numFmtId="0" fontId="3" fillId="12" borderId="57" xfId="0" applyFont="1" applyFill="1" applyBorder="1" applyAlignment="1">
      <alignment horizontal="center" vertical="center"/>
    </xf>
    <xf numFmtId="0" fontId="4" fillId="12" borderId="58" xfId="0" applyFont="1" applyFill="1" applyBorder="1" applyAlignment="1">
      <alignment horizontal="center" vertical="center" wrapText="1"/>
    </xf>
    <xf numFmtId="0" fontId="4" fillId="12" borderId="58" xfId="0" applyFont="1" applyFill="1" applyBorder="1" applyAlignment="1">
      <alignment horizontal="center" wrapText="1"/>
    </xf>
    <xf numFmtId="0" fontId="3" fillId="12" borderId="50" xfId="0" applyFont="1" applyFill="1" applyBorder="1" applyAlignment="1">
      <alignment horizontal="center" vertical="center" wrapText="1"/>
    </xf>
    <xf numFmtId="0" fontId="3" fillId="12" borderId="58" xfId="0" applyFont="1" applyFill="1" applyBorder="1" applyAlignment="1">
      <alignment vertical="center"/>
    </xf>
    <xf numFmtId="0" fontId="4" fillId="12" borderId="23" xfId="0" applyFont="1" applyFill="1" applyBorder="1"/>
    <xf numFmtId="9" fontId="0" fillId="11" borderId="25" xfId="0" applyNumberFormat="1" applyFill="1" applyBorder="1"/>
    <xf numFmtId="165" fontId="0" fillId="11" borderId="24" xfId="0" applyNumberFormat="1" applyFill="1" applyBorder="1"/>
    <xf numFmtId="165" fontId="0" fillId="4" borderId="24" xfId="0" applyNumberFormat="1" applyFill="1" applyBorder="1"/>
    <xf numFmtId="0" fontId="8" fillId="4" borderId="1" xfId="0" applyFont="1" applyFill="1" applyBorder="1"/>
    <xf numFmtId="165" fontId="0" fillId="11" borderId="26" xfId="0" applyNumberFormat="1" applyFill="1" applyBorder="1"/>
    <xf numFmtId="0" fontId="0" fillId="11" borderId="1" xfId="0" applyFill="1" applyBorder="1"/>
    <xf numFmtId="0" fontId="4" fillId="12" borderId="48" xfId="0" applyFont="1" applyFill="1" applyBorder="1" applyAlignment="1">
      <alignment horizontal="center"/>
    </xf>
    <xf numFmtId="0" fontId="4" fillId="12" borderId="47" xfId="0" applyFont="1" applyFill="1" applyBorder="1"/>
    <xf numFmtId="0" fontId="0" fillId="4" borderId="62" xfId="0" applyFill="1" applyBorder="1"/>
    <xf numFmtId="9" fontId="0" fillId="11" borderId="62" xfId="0" applyNumberFormat="1" applyFill="1" applyBorder="1"/>
    <xf numFmtId="165" fontId="0" fillId="4" borderId="59" xfId="0" applyNumberFormat="1" applyFill="1" applyBorder="1"/>
    <xf numFmtId="6" fontId="1" fillId="3" borderId="0" xfId="0" applyNumberFormat="1" applyFont="1" applyFill="1"/>
    <xf numFmtId="0" fontId="0" fillId="3" borderId="0" xfId="0" applyFill="1"/>
    <xf numFmtId="6" fontId="0" fillId="4" borderId="0" xfId="0" applyNumberFormat="1" applyFill="1"/>
    <xf numFmtId="0" fontId="0" fillId="11" borderId="7" xfId="0" applyFill="1" applyBorder="1" applyAlignment="1">
      <alignment horizontal="center"/>
    </xf>
    <xf numFmtId="0" fontId="0" fillId="11" borderId="7" xfId="0" applyFill="1" applyBorder="1" applyAlignment="1">
      <alignment horizontal="center" vertical="center"/>
    </xf>
    <xf numFmtId="0" fontId="0" fillId="4" borderId="7" xfId="0" applyFill="1" applyBorder="1" applyAlignment="1">
      <alignment horizontal="left"/>
    </xf>
    <xf numFmtId="0" fontId="5" fillId="12" borderId="7" xfId="0" applyFont="1" applyFill="1" applyBorder="1" applyAlignment="1">
      <alignment horizontal="center" vertical="center" wrapText="1"/>
    </xf>
    <xf numFmtId="9" fontId="0" fillId="0" borderId="7" xfId="0" applyNumberFormat="1" applyBorder="1" applyAlignment="1">
      <alignment horizontal="center" vertical="center" wrapText="1"/>
    </xf>
    <xf numFmtId="166" fontId="0" fillId="0" borderId="7" xfId="0" applyNumberFormat="1" applyBorder="1" applyAlignment="1">
      <alignment horizontal="center" vertical="center" wrapText="1"/>
    </xf>
    <xf numFmtId="0" fontId="4" fillId="12" borderId="7" xfId="0" applyFont="1" applyFill="1" applyBorder="1" applyAlignment="1">
      <alignment horizontal="right"/>
    </xf>
    <xf numFmtId="166" fontId="1" fillId="4" borderId="7" xfId="0" applyNumberFormat="1" applyFont="1" applyFill="1" applyBorder="1" applyAlignment="1">
      <alignment horizontal="center"/>
    </xf>
    <xf numFmtId="166" fontId="1" fillId="4" borderId="7" xfId="0" applyNumberFormat="1" applyFont="1" applyFill="1" applyBorder="1"/>
    <xf numFmtId="0" fontId="16" fillId="12" borderId="40" xfId="2" applyFont="1" applyFill="1" applyBorder="1" applyAlignment="1">
      <alignment horizontal="left" vertical="center" wrapText="1"/>
    </xf>
    <xf numFmtId="0" fontId="18" fillId="12" borderId="15" xfId="2" applyFont="1" applyFill="1" applyBorder="1" applyAlignment="1">
      <alignment horizontal="left" vertical="top" wrapText="1"/>
    </xf>
    <xf numFmtId="0" fontId="19" fillId="17" borderId="68" xfId="2" applyFont="1" applyFill="1" applyBorder="1" applyAlignment="1">
      <alignment horizontal="center" vertical="center" wrapText="1"/>
    </xf>
    <xf numFmtId="0" fontId="19" fillId="17" borderId="4" xfId="2" applyFont="1" applyFill="1" applyBorder="1" applyAlignment="1">
      <alignment horizontal="center" vertical="center" wrapText="1"/>
    </xf>
    <xf numFmtId="0" fontId="19" fillId="17" borderId="11" xfId="2" applyFont="1" applyFill="1" applyBorder="1" applyAlignment="1">
      <alignment horizontal="center" vertical="center" wrapText="1"/>
    </xf>
    <xf numFmtId="0" fontId="2" fillId="17" borderId="8" xfId="0" applyFont="1" applyFill="1" applyBorder="1" applyAlignment="1">
      <alignment horizontal="center" vertical="center"/>
    </xf>
    <xf numFmtId="0" fontId="17" fillId="16" borderId="7" xfId="0" applyFont="1" applyFill="1" applyBorder="1" applyAlignment="1">
      <alignment horizontal="center" vertical="center" wrapText="1"/>
    </xf>
    <xf numFmtId="0" fontId="0" fillId="18" borderId="25" xfId="0" applyFill="1" applyBorder="1" applyAlignment="1">
      <alignment horizontal="center" vertical="center" wrapText="1"/>
    </xf>
    <xf numFmtId="0" fontId="0" fillId="18" borderId="24" xfId="0" applyFill="1" applyBorder="1" applyAlignment="1">
      <alignment horizontal="center" vertical="center" wrapText="1"/>
    </xf>
    <xf numFmtId="0" fontId="0" fillId="4" borderId="0" xfId="0" applyFill="1" applyAlignment="1">
      <alignment horizontal="center" vertical="center"/>
    </xf>
    <xf numFmtId="0" fontId="20" fillId="0" borderId="7" xfId="2" applyFont="1" applyBorder="1" applyAlignment="1">
      <alignment horizontal="center" vertical="center" wrapText="1"/>
    </xf>
    <xf numFmtId="0" fontId="20" fillId="0" borderId="7" xfId="2" applyFont="1" applyBorder="1" applyAlignment="1">
      <alignment horizontal="left" vertical="center" wrapText="1"/>
    </xf>
    <xf numFmtId="1" fontId="20" fillId="0" borderId="7" xfId="2" applyNumberFormat="1" applyFont="1" applyBorder="1" applyAlignment="1">
      <alignment horizontal="center" vertical="center" wrapText="1"/>
    </xf>
    <xf numFmtId="3" fontId="20" fillId="0" borderId="7" xfId="2" applyNumberFormat="1" applyFont="1" applyBorder="1" applyAlignment="1">
      <alignment horizontal="right" vertical="center" wrapText="1"/>
    </xf>
    <xf numFmtId="0" fontId="0" fillId="0" borderId="8" xfId="0" applyBorder="1" applyAlignment="1">
      <alignment vertical="center" wrapText="1"/>
    </xf>
    <xf numFmtId="0" fontId="0" fillId="4" borderId="8" xfId="0" applyFill="1" applyBorder="1" applyAlignment="1">
      <alignment horizontal="center"/>
    </xf>
    <xf numFmtId="10" fontId="14" fillId="0" borderId="7" xfId="2" quotePrefix="1" applyNumberFormat="1" applyBorder="1" applyAlignment="1">
      <alignment horizontal="center" wrapText="1"/>
    </xf>
    <xf numFmtId="10" fontId="0" fillId="0" borderId="7" xfId="0" applyNumberFormat="1" applyBorder="1" applyAlignment="1">
      <alignment horizontal="center"/>
    </xf>
    <xf numFmtId="176" fontId="14" fillId="19" borderId="7" xfId="2" quotePrefix="1" applyNumberFormat="1" applyFill="1" applyBorder="1" applyAlignment="1">
      <alignment horizontal="center" wrapText="1"/>
    </xf>
    <xf numFmtId="10" fontId="0" fillId="4" borderId="7" xfId="0" applyNumberFormat="1" applyFill="1" applyBorder="1"/>
    <xf numFmtId="0" fontId="0" fillId="4" borderId="15" xfId="0" applyFill="1" applyBorder="1"/>
    <xf numFmtId="177" fontId="0" fillId="0" borderId="0" xfId="0" applyNumberFormat="1"/>
    <xf numFmtId="166" fontId="0" fillId="11" borderId="71" xfId="0" applyNumberFormat="1" applyFill="1" applyBorder="1" applyAlignment="1">
      <alignment horizontal="center"/>
    </xf>
    <xf numFmtId="9" fontId="0" fillId="4" borderId="80" xfId="0" applyNumberFormat="1" applyFill="1" applyBorder="1" applyAlignment="1">
      <alignment horizontal="center"/>
    </xf>
    <xf numFmtId="166" fontId="0" fillId="4" borderId="3" xfId="0" applyNumberFormat="1" applyFill="1" applyBorder="1" applyAlignment="1">
      <alignment horizontal="center"/>
    </xf>
    <xf numFmtId="166" fontId="0" fillId="4" borderId="63" xfId="0" applyNumberFormat="1" applyFill="1" applyBorder="1" applyAlignment="1">
      <alignment horizontal="center"/>
    </xf>
    <xf numFmtId="166" fontId="0" fillId="4" borderId="79" xfId="0" applyNumberFormat="1" applyFill="1" applyBorder="1" applyAlignment="1">
      <alignment horizontal="center"/>
    </xf>
    <xf numFmtId="166" fontId="0" fillId="11" borderId="3" xfId="0" applyNumberFormat="1" applyFill="1" applyBorder="1" applyAlignment="1">
      <alignment horizontal="center"/>
    </xf>
    <xf numFmtId="166" fontId="0" fillId="11" borderId="63" xfId="0" applyNumberFormat="1" applyFill="1" applyBorder="1" applyAlignment="1">
      <alignment horizontal="center"/>
    </xf>
    <xf numFmtId="6" fontId="0" fillId="11" borderId="80" xfId="0" applyNumberFormat="1" applyFill="1" applyBorder="1" applyAlignment="1">
      <alignment horizontal="center"/>
    </xf>
    <xf numFmtId="6" fontId="0" fillId="11" borderId="3" xfId="0" applyNumberFormat="1" applyFill="1" applyBorder="1" applyAlignment="1">
      <alignment horizontal="center"/>
    </xf>
    <xf numFmtId="166" fontId="0" fillId="11" borderId="10" xfId="0" applyNumberFormat="1" applyFill="1" applyBorder="1" applyAlignment="1">
      <alignment horizontal="center"/>
    </xf>
    <xf numFmtId="172" fontId="23" fillId="4" borderId="36" xfId="0" applyNumberFormat="1" applyFont="1" applyFill="1" applyBorder="1" applyAlignment="1">
      <alignment horizontal="center"/>
    </xf>
    <xf numFmtId="0" fontId="0" fillId="0" borderId="83" xfId="0" applyBorder="1" applyAlignment="1">
      <alignment vertical="center" wrapText="1"/>
    </xf>
    <xf numFmtId="0" fontId="0" fillId="0" borderId="84" xfId="0" applyBorder="1" applyAlignment="1">
      <alignment vertical="center" wrapText="1"/>
    </xf>
    <xf numFmtId="0" fontId="0" fillId="0" borderId="51" xfId="0"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24" fillId="0" borderId="0" xfId="3" applyFill="1" applyBorder="1" applyAlignment="1">
      <alignment vertical="center" wrapText="1"/>
    </xf>
    <xf numFmtId="0" fontId="1" fillId="0" borderId="0" xfId="0" applyFont="1" applyAlignment="1">
      <alignment vertical="center" wrapText="1"/>
    </xf>
    <xf numFmtId="165" fontId="0" fillId="15" borderId="19" xfId="0" applyNumberFormat="1" applyFill="1" applyBorder="1" applyAlignment="1">
      <alignment horizontal="right"/>
    </xf>
    <xf numFmtId="165" fontId="0" fillId="15" borderId="20" xfId="0" applyNumberFormat="1" applyFill="1" applyBorder="1" applyAlignment="1">
      <alignment horizontal="right"/>
    </xf>
    <xf numFmtId="165" fontId="0" fillId="15" borderId="70" xfId="0" applyNumberFormat="1" applyFill="1" applyBorder="1" applyAlignment="1">
      <alignment horizontal="right"/>
    </xf>
    <xf numFmtId="165" fontId="0" fillId="15" borderId="79" xfId="0" applyNumberFormat="1" applyFill="1" applyBorder="1" applyAlignment="1">
      <alignment horizontal="right"/>
    </xf>
    <xf numFmtId="165" fontId="0" fillId="15" borderId="16" xfId="0" applyNumberFormat="1" applyFill="1" applyBorder="1" applyAlignment="1">
      <alignment horizontal="right"/>
    </xf>
    <xf numFmtId="165" fontId="0" fillId="15" borderId="17" xfId="0" applyNumberFormat="1" applyFill="1" applyBorder="1" applyAlignment="1">
      <alignment horizontal="right"/>
    </xf>
    <xf numFmtId="0" fontId="0" fillId="0" borderId="0" xfId="0" applyAlignment="1">
      <alignment horizontal="left" vertical="center" wrapText="1"/>
    </xf>
    <xf numFmtId="0" fontId="0" fillId="0" borderId="0" xfId="0"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wrapText="1"/>
    </xf>
    <xf numFmtId="0" fontId="0" fillId="0" borderId="7" xfId="0" applyBorder="1" applyAlignment="1">
      <alignment vertical="center" wrapText="1"/>
    </xf>
    <xf numFmtId="164" fontId="27" fillId="15" borderId="20" xfId="0" applyNumberFormat="1" applyFont="1" applyFill="1" applyBorder="1" applyAlignment="1">
      <alignment horizontal="center"/>
    </xf>
    <xf numFmtId="164" fontId="27" fillId="15" borderId="79" xfId="0" applyNumberFormat="1" applyFont="1" applyFill="1" applyBorder="1" applyAlignment="1">
      <alignment horizontal="center"/>
    </xf>
    <xf numFmtId="164" fontId="27" fillId="15" borderId="17" xfId="0" applyNumberFormat="1" applyFont="1" applyFill="1" applyBorder="1" applyAlignment="1">
      <alignment horizontal="center"/>
    </xf>
    <xf numFmtId="0" fontId="27" fillId="0" borderId="0" xfId="0" applyFont="1" applyAlignment="1">
      <alignment horizontal="center" vertical="center"/>
    </xf>
    <xf numFmtId="0" fontId="28" fillId="0" borderId="0" xfId="0" applyFont="1" applyAlignment="1">
      <alignment horizontal="center" vertical="center"/>
    </xf>
    <xf numFmtId="0" fontId="1" fillId="0" borderId="0" xfId="0" applyFont="1" applyAlignment="1">
      <alignment horizontal="left" vertical="center" wrapText="1"/>
    </xf>
    <xf numFmtId="0" fontId="0" fillId="4" borderId="19" xfId="0" applyFill="1" applyBorder="1"/>
    <xf numFmtId="0" fontId="0" fillId="4" borderId="53" xfId="0" applyFill="1" applyBorder="1"/>
    <xf numFmtId="0" fontId="0" fillId="4" borderId="20" xfId="0" applyFill="1" applyBorder="1"/>
    <xf numFmtId="0" fontId="0" fillId="4" borderId="70" xfId="0" applyFill="1" applyBorder="1"/>
    <xf numFmtId="0" fontId="0" fillId="4" borderId="79" xfId="0" applyFill="1" applyBorder="1"/>
    <xf numFmtId="0" fontId="0" fillId="4" borderId="0" xfId="0" applyFill="1" applyAlignment="1">
      <alignment horizontal="right" indent="1"/>
    </xf>
    <xf numFmtId="0" fontId="1" fillId="4" borderId="0" xfId="0" applyFont="1" applyFill="1" applyAlignment="1">
      <alignment horizontal="right" indent="1"/>
    </xf>
    <xf numFmtId="0" fontId="1" fillId="4" borderId="0" xfId="0" applyFont="1" applyFill="1"/>
    <xf numFmtId="0" fontId="29" fillId="4" borderId="0" xfId="0" applyFont="1" applyFill="1" applyAlignment="1">
      <alignment horizontal="left"/>
    </xf>
    <xf numFmtId="0" fontId="30" fillId="4" borderId="0" xfId="0" applyFont="1" applyFill="1" applyAlignment="1">
      <alignment vertical="center"/>
    </xf>
    <xf numFmtId="0" fontId="31" fillId="4" borderId="0" xfId="0" applyFont="1" applyFill="1" applyAlignment="1">
      <alignment horizontal="center" wrapText="1"/>
    </xf>
    <xf numFmtId="0" fontId="1" fillId="4" borderId="0" xfId="0" applyFont="1" applyFill="1" applyAlignment="1">
      <alignment horizontal="right"/>
    </xf>
    <xf numFmtId="0" fontId="31" fillId="4" borderId="0" xfId="0" applyFont="1" applyFill="1" applyAlignment="1">
      <alignment horizontal="right"/>
    </xf>
    <xf numFmtId="0" fontId="0" fillId="4" borderId="39" xfId="0" applyFill="1" applyBorder="1"/>
    <xf numFmtId="0" fontId="0" fillId="4" borderId="39" xfId="0" applyFill="1" applyBorder="1" applyAlignment="1" applyProtection="1">
      <alignment horizontal="center"/>
      <protection locked="0"/>
    </xf>
    <xf numFmtId="0" fontId="0" fillId="4" borderId="87" xfId="0" applyFill="1" applyBorder="1"/>
    <xf numFmtId="0" fontId="0" fillId="4" borderId="87" xfId="0" applyFill="1" applyBorder="1" applyAlignment="1" applyProtection="1">
      <alignment horizontal="center"/>
      <protection locked="0"/>
    </xf>
    <xf numFmtId="9" fontId="1" fillId="4" borderId="0" xfId="0" applyNumberFormat="1" applyFont="1" applyFill="1" applyAlignment="1">
      <alignment horizontal="center"/>
    </xf>
    <xf numFmtId="0" fontId="12" fillId="4" borderId="0" xfId="0" applyFont="1" applyFill="1"/>
    <xf numFmtId="9" fontId="12" fillId="4" borderId="0" xfId="0" applyNumberFormat="1" applyFont="1" applyFill="1" applyAlignment="1">
      <alignment horizontal="center"/>
    </xf>
    <xf numFmtId="9" fontId="0" fillId="4" borderId="0" xfId="0" applyNumberFormat="1" applyFill="1" applyAlignment="1">
      <alignment horizontal="center"/>
    </xf>
    <xf numFmtId="0" fontId="1" fillId="4" borderId="0" xfId="0" applyFont="1" applyFill="1" applyAlignment="1">
      <alignment horizontal="center" vertical="center"/>
    </xf>
    <xf numFmtId="165" fontId="0" fillId="4" borderId="89" xfId="0" applyNumberFormat="1" applyFill="1" applyBorder="1" applyAlignment="1">
      <alignment horizontal="center"/>
    </xf>
    <xf numFmtId="9" fontId="0" fillId="4" borderId="89" xfId="0" applyNumberFormat="1" applyFill="1" applyBorder="1" applyAlignment="1">
      <alignment horizontal="center"/>
    </xf>
    <xf numFmtId="166" fontId="1" fillId="4" borderId="90" xfId="0" applyNumberFormat="1" applyFont="1" applyFill="1" applyBorder="1" applyAlignment="1">
      <alignment horizontal="center"/>
    </xf>
    <xf numFmtId="0" fontId="1" fillId="4" borderId="0" xfId="0" applyFont="1" applyFill="1" applyAlignment="1">
      <alignment horizontal="center"/>
    </xf>
    <xf numFmtId="166" fontId="1" fillId="4" borderId="0" xfId="0" applyNumberFormat="1" applyFont="1" applyFill="1"/>
    <xf numFmtId="165" fontId="3" fillId="21" borderId="91" xfId="0" applyNumberFormat="1" applyFont="1" applyFill="1" applyBorder="1" applyAlignment="1">
      <alignment horizontal="center" vertical="center"/>
    </xf>
    <xf numFmtId="165" fontId="3" fillId="21" borderId="92" xfId="0" applyNumberFormat="1" applyFont="1" applyFill="1" applyBorder="1" applyAlignment="1">
      <alignment horizontal="center" vertical="center"/>
    </xf>
    <xf numFmtId="0" fontId="31" fillId="4" borderId="0" xfId="0" applyFont="1" applyFill="1"/>
    <xf numFmtId="165" fontId="1" fillId="11" borderId="1" xfId="0" applyNumberFormat="1" applyFont="1" applyFill="1" applyBorder="1"/>
    <xf numFmtId="9" fontId="0" fillId="11" borderId="7" xfId="0" applyNumberFormat="1" applyFill="1" applyBorder="1"/>
    <xf numFmtId="0" fontId="0" fillId="4" borderId="7" xfId="0" applyFill="1" applyBorder="1" applyAlignment="1" applyProtection="1">
      <alignment horizontal="center"/>
      <protection locked="0"/>
    </xf>
    <xf numFmtId="165" fontId="0" fillId="11" borderId="54" xfId="0" applyNumberFormat="1" applyFill="1" applyBorder="1"/>
    <xf numFmtId="165" fontId="0" fillId="4" borderId="0" xfId="0" applyNumberFormat="1" applyFill="1" applyProtection="1">
      <protection locked="0"/>
    </xf>
    <xf numFmtId="0" fontId="0" fillId="11" borderId="54" xfId="0" applyFill="1" applyBorder="1"/>
    <xf numFmtId="0" fontId="0" fillId="4" borderId="54" xfId="0" applyFill="1" applyBorder="1" applyProtection="1">
      <protection locked="0"/>
    </xf>
    <xf numFmtId="10" fontId="0" fillId="4" borderId="54" xfId="0" applyNumberFormat="1" applyFill="1" applyBorder="1" applyProtection="1">
      <protection locked="0"/>
    </xf>
    <xf numFmtId="10" fontId="0" fillId="4" borderId="0" xfId="0" applyNumberFormat="1" applyFill="1" applyProtection="1">
      <protection locked="0"/>
    </xf>
    <xf numFmtId="166" fontId="0" fillId="4" borderId="54" xfId="0" applyNumberFormat="1" applyFill="1" applyBorder="1" applyProtection="1">
      <protection locked="0"/>
    </xf>
    <xf numFmtId="166" fontId="0" fillId="4" borderId="0" xfId="0" applyNumberFormat="1" applyFill="1" applyProtection="1">
      <protection locked="0"/>
    </xf>
    <xf numFmtId="166" fontId="0" fillId="11" borderId="54" xfId="0" applyNumberFormat="1" applyFill="1" applyBorder="1"/>
    <xf numFmtId="166" fontId="1" fillId="11" borderId="54" xfId="0" applyNumberFormat="1" applyFont="1" applyFill="1" applyBorder="1"/>
    <xf numFmtId="0" fontId="32" fillId="20" borderId="0" xfId="0" applyFont="1" applyFill="1" applyAlignment="1" applyProtection="1">
      <alignment horizontal="left" vertical="center"/>
      <protection locked="0"/>
    </xf>
    <xf numFmtId="0" fontId="33" fillId="4" borderId="0" xfId="0" applyFont="1" applyFill="1" applyAlignment="1" applyProtection="1">
      <alignment horizontal="left" indent="3"/>
      <protection locked="0"/>
    </xf>
    <xf numFmtId="0" fontId="0" fillId="4" borderId="70" xfId="0" applyFill="1" applyBorder="1" applyProtection="1">
      <protection locked="0"/>
    </xf>
    <xf numFmtId="0" fontId="0" fillId="4" borderId="0" xfId="0" applyFill="1" applyProtection="1">
      <protection locked="0"/>
    </xf>
    <xf numFmtId="0" fontId="0" fillId="4" borderId="79" xfId="0" applyFill="1" applyBorder="1" applyProtection="1">
      <protection locked="0"/>
    </xf>
    <xf numFmtId="0" fontId="0" fillId="4" borderId="16" xfId="0" applyFill="1" applyBorder="1"/>
    <xf numFmtId="0" fontId="0" fillId="4" borderId="18" xfId="0" applyFill="1" applyBorder="1"/>
    <xf numFmtId="0" fontId="0" fillId="4" borderId="17" xfId="0" applyFill="1" applyBorder="1"/>
    <xf numFmtId="0" fontId="0" fillId="22" borderId="0" xfId="0" applyFill="1"/>
    <xf numFmtId="165" fontId="1" fillId="11" borderId="7" xfId="0" applyNumberFormat="1" applyFont="1" applyFill="1" applyBorder="1"/>
    <xf numFmtId="0" fontId="0" fillId="4" borderId="18" xfId="0" applyFill="1" applyBorder="1" applyAlignment="1">
      <alignment horizontal="center"/>
    </xf>
    <xf numFmtId="165" fontId="1" fillId="11" borderId="39" xfId="0" applyNumberFormat="1" applyFont="1" applyFill="1" applyBorder="1" applyAlignment="1">
      <alignment horizontal="center"/>
    </xf>
    <xf numFmtId="9" fontId="1" fillId="11" borderId="39" xfId="0" applyNumberFormat="1" applyFont="1" applyFill="1" applyBorder="1" applyAlignment="1">
      <alignment horizontal="center"/>
    </xf>
    <xf numFmtId="165" fontId="1" fillId="11" borderId="87" xfId="0" applyNumberFormat="1" applyFont="1" applyFill="1" applyBorder="1" applyAlignment="1">
      <alignment horizontal="center"/>
    </xf>
    <xf numFmtId="9" fontId="1" fillId="11" borderId="87" xfId="0" applyNumberFormat="1" applyFont="1" applyFill="1" applyBorder="1" applyAlignment="1">
      <alignment horizontal="center"/>
    </xf>
    <xf numFmtId="165" fontId="1" fillId="11" borderId="90" xfId="0" applyNumberFormat="1" applyFont="1" applyFill="1" applyBorder="1" applyAlignment="1">
      <alignment horizontal="center"/>
    </xf>
    <xf numFmtId="9" fontId="1" fillId="11" borderId="90" xfId="0" applyNumberFormat="1" applyFont="1" applyFill="1" applyBorder="1" applyAlignment="1">
      <alignment horizontal="center"/>
    </xf>
    <xf numFmtId="166" fontId="1" fillId="0" borderId="39" xfId="0" applyNumberFormat="1" applyFont="1" applyBorder="1" applyAlignment="1">
      <alignment horizontal="center"/>
    </xf>
    <xf numFmtId="166" fontId="1" fillId="0" borderId="87" xfId="0" applyNumberFormat="1" applyFont="1" applyBorder="1" applyAlignment="1">
      <alignment horizontal="center"/>
    </xf>
    <xf numFmtId="166" fontId="0" fillId="0" borderId="89" xfId="0" applyNumberFormat="1" applyBorder="1" applyAlignment="1">
      <alignment horizontal="center"/>
    </xf>
    <xf numFmtId="0" fontId="0" fillId="4" borderId="16" xfId="0"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1" fillId="4" borderId="19" xfId="0" applyFont="1" applyFill="1" applyBorder="1"/>
    <xf numFmtId="0" fontId="1" fillId="4" borderId="70" xfId="0" applyFont="1" applyFill="1" applyBorder="1"/>
    <xf numFmtId="0" fontId="1" fillId="4" borderId="79" xfId="0" applyFont="1" applyFill="1" applyBorder="1"/>
    <xf numFmtId="9" fontId="0" fillId="4" borderId="79" xfId="0" applyNumberFormat="1" applyFill="1" applyBorder="1"/>
    <xf numFmtId="0" fontId="1" fillId="4" borderId="16" xfId="0" applyFont="1" applyFill="1" applyBorder="1"/>
    <xf numFmtId="0" fontId="1" fillId="4" borderId="17" xfId="0" applyFont="1" applyFill="1" applyBorder="1"/>
    <xf numFmtId="0" fontId="26" fillId="4" borderId="0" xfId="0" applyFont="1" applyFill="1"/>
    <xf numFmtId="0" fontId="26" fillId="4" borderId="0" xfId="0" applyFont="1" applyFill="1" applyAlignment="1">
      <alignment horizontal="left"/>
    </xf>
    <xf numFmtId="0" fontId="0" fillId="4" borderId="16" xfId="0" applyFill="1" applyBorder="1" applyAlignment="1">
      <alignment wrapText="1"/>
    </xf>
    <xf numFmtId="0" fontId="0" fillId="4" borderId="60" xfId="0" applyFill="1" applyBorder="1" applyAlignment="1">
      <alignment horizontal="center" vertical="center"/>
    </xf>
    <xf numFmtId="0" fontId="0" fillId="4" borderId="70" xfId="0" applyFill="1" applyBorder="1" applyAlignment="1">
      <alignment wrapText="1"/>
    </xf>
    <xf numFmtId="0" fontId="1" fillId="4" borderId="2" xfId="0" applyFont="1" applyFill="1" applyBorder="1"/>
    <xf numFmtId="0" fontId="1" fillId="4" borderId="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166" fontId="0" fillId="4" borderId="0" xfId="0" applyNumberFormat="1" applyFill="1" applyAlignment="1">
      <alignment horizontal="center"/>
    </xf>
    <xf numFmtId="165" fontId="0" fillId="4" borderId="79" xfId="0" applyNumberFormat="1" applyFill="1" applyBorder="1" applyAlignment="1">
      <alignment horizontal="right"/>
    </xf>
    <xf numFmtId="165" fontId="0" fillId="4" borderId="0" xfId="0" applyNumberFormat="1" applyFill="1" applyAlignment="1">
      <alignment horizontal="center"/>
    </xf>
    <xf numFmtId="166" fontId="0" fillId="4" borderId="0" xfId="0" applyNumberFormat="1" applyFill="1" applyAlignment="1">
      <alignment horizontal="right"/>
    </xf>
    <xf numFmtId="165" fontId="0" fillId="4" borderId="0" xfId="0" applyNumberFormat="1" applyFill="1" applyAlignment="1">
      <alignment horizontal="right"/>
    </xf>
    <xf numFmtId="0" fontId="0" fillId="4" borderId="53" xfId="0" applyFill="1" applyBorder="1" applyAlignment="1">
      <alignment horizontal="center"/>
    </xf>
    <xf numFmtId="165" fontId="0" fillId="4" borderId="20" xfId="0" applyNumberFormat="1" applyFill="1" applyBorder="1" applyAlignment="1">
      <alignment horizontal="right"/>
    </xf>
    <xf numFmtId="165" fontId="0" fillId="4" borderId="53" xfId="0" applyNumberFormat="1" applyFill="1" applyBorder="1" applyAlignment="1">
      <alignment horizontal="right"/>
    </xf>
    <xf numFmtId="165" fontId="0" fillId="4" borderId="18" xfId="0" applyNumberFormat="1" applyFill="1" applyBorder="1" applyAlignment="1">
      <alignment horizontal="right"/>
    </xf>
    <xf numFmtId="165" fontId="0" fillId="4" borderId="6" xfId="0" applyNumberFormat="1" applyFill="1" applyBorder="1" applyAlignment="1">
      <alignment horizontal="right" vertical="center"/>
    </xf>
    <xf numFmtId="165" fontId="1" fillId="4" borderId="6" xfId="0" applyNumberFormat="1" applyFont="1" applyFill="1" applyBorder="1" applyAlignment="1">
      <alignment horizontal="center" vertical="center"/>
    </xf>
    <xf numFmtId="164" fontId="0" fillId="4" borderId="53" xfId="0" applyNumberFormat="1" applyFill="1" applyBorder="1" applyAlignment="1">
      <alignment horizontal="center"/>
    </xf>
    <xf numFmtId="165" fontId="1" fillId="4" borderId="6" xfId="0" applyNumberFormat="1" applyFont="1" applyFill="1" applyBorder="1" applyAlignment="1">
      <alignment horizontal="right" vertical="center"/>
    </xf>
    <xf numFmtId="164" fontId="0" fillId="4" borderId="0" xfId="0" applyNumberFormat="1" applyFill="1" applyAlignment="1">
      <alignment horizontal="center"/>
    </xf>
    <xf numFmtId="165" fontId="1" fillId="4" borderId="2" xfId="0" applyNumberFormat="1" applyFont="1" applyFill="1" applyBorder="1" applyAlignment="1">
      <alignment horizontal="right" vertical="center"/>
    </xf>
    <xf numFmtId="165" fontId="0" fillId="4" borderId="5" xfId="0" applyNumberFormat="1" applyFill="1" applyBorder="1" applyAlignment="1">
      <alignment horizontal="right" vertical="center"/>
    </xf>
    <xf numFmtId="165" fontId="0" fillId="15" borderId="26" xfId="0" applyNumberFormat="1" applyFill="1" applyBorder="1" applyAlignment="1">
      <alignment horizontal="right"/>
    </xf>
    <xf numFmtId="165" fontId="0" fillId="15" borderId="71" xfId="0" applyNumberFormat="1" applyFill="1" applyBorder="1" applyAlignment="1">
      <alignment horizontal="right"/>
    </xf>
    <xf numFmtId="165" fontId="0" fillId="15" borderId="1" xfId="0" applyNumberFormat="1" applyFill="1" applyBorder="1" applyAlignment="1">
      <alignment horizontal="right"/>
    </xf>
    <xf numFmtId="165" fontId="0" fillId="15" borderId="60" xfId="0" applyNumberFormat="1" applyFill="1" applyBorder="1" applyAlignment="1">
      <alignment horizontal="right"/>
    </xf>
    <xf numFmtId="165" fontId="0" fillId="15" borderId="26" xfId="0" applyNumberFormat="1" applyFill="1" applyBorder="1" applyAlignment="1">
      <alignment horizontal="center"/>
    </xf>
    <xf numFmtId="165" fontId="0" fillId="15" borderId="71" xfId="0" applyNumberFormat="1" applyFill="1" applyBorder="1" applyAlignment="1">
      <alignment horizontal="center"/>
    </xf>
    <xf numFmtId="0" fontId="1" fillId="4" borderId="19" xfId="0" applyFont="1" applyFill="1" applyBorder="1" applyAlignment="1">
      <alignment horizontal="center" vertical="center"/>
    </xf>
    <xf numFmtId="0" fontId="1" fillId="4" borderId="53" xfId="0" applyFont="1" applyFill="1" applyBorder="1" applyAlignment="1">
      <alignment horizontal="center" vertical="center"/>
    </xf>
    <xf numFmtId="0" fontId="1" fillId="4" borderId="53" xfId="0" applyFont="1" applyFill="1" applyBorder="1" applyAlignment="1">
      <alignment horizontal="center" vertical="center" wrapText="1"/>
    </xf>
    <xf numFmtId="0" fontId="1" fillId="4" borderId="20" xfId="0" applyFont="1" applyFill="1" applyBorder="1" applyAlignment="1">
      <alignment horizontal="center" vertical="center" wrapText="1"/>
    </xf>
    <xf numFmtId="165" fontId="0" fillId="4" borderId="0" xfId="0" applyNumberFormat="1" applyFill="1" applyAlignment="1" applyProtection="1">
      <alignment horizontal="center" vertical="center"/>
      <protection locked="0"/>
    </xf>
    <xf numFmtId="165" fontId="0" fillId="4" borderId="53" xfId="0" applyNumberFormat="1" applyFill="1" applyBorder="1" applyAlignment="1" applyProtection="1">
      <alignment horizontal="center" vertical="center"/>
      <protection locked="0"/>
    </xf>
    <xf numFmtId="166" fontId="0" fillId="4" borderId="18" xfId="0" applyNumberFormat="1" applyFill="1" applyBorder="1" applyAlignment="1">
      <alignment horizontal="center"/>
    </xf>
    <xf numFmtId="0" fontId="0" fillId="23" borderId="0" xfId="0" applyFill="1"/>
    <xf numFmtId="178" fontId="0" fillId="8" borderId="4" xfId="0" applyNumberFormat="1" applyFill="1" applyBorder="1" applyAlignment="1">
      <alignment vertical="center"/>
    </xf>
    <xf numFmtId="178" fontId="0" fillId="8" borderId="3" xfId="0" applyNumberFormat="1" applyFill="1" applyBorder="1" applyAlignment="1">
      <alignment vertical="center"/>
    </xf>
    <xf numFmtId="165" fontId="1" fillId="11" borderId="7" xfId="0" applyNumberFormat="1" applyFont="1" applyFill="1" applyBorder="1" applyAlignment="1">
      <alignment horizontal="center"/>
    </xf>
    <xf numFmtId="0" fontId="8" fillId="4" borderId="7" xfId="0" applyFont="1" applyFill="1" applyBorder="1" applyAlignment="1">
      <alignment horizontal="center"/>
    </xf>
    <xf numFmtId="178" fontId="0" fillId="11" borderId="88" xfId="0" applyNumberFormat="1" applyFill="1" applyBorder="1" applyProtection="1">
      <protection locked="0"/>
    </xf>
    <xf numFmtId="178" fontId="13" fillId="11" borderId="93" xfId="0" applyNumberFormat="1" applyFont="1" applyFill="1" applyBorder="1" applyProtection="1">
      <protection locked="0"/>
    </xf>
    <xf numFmtId="0" fontId="0" fillId="4" borderId="0" xfId="0" applyFill="1" applyAlignment="1">
      <alignment wrapText="1"/>
    </xf>
    <xf numFmtId="165" fontId="0" fillId="11" borderId="54" xfId="0" applyNumberFormat="1" applyFill="1" applyBorder="1" applyProtection="1">
      <protection locked="0"/>
    </xf>
    <xf numFmtId="3" fontId="0" fillId="4" borderId="7" xfId="0" applyNumberFormat="1" applyFill="1" applyBorder="1"/>
    <xf numFmtId="9" fontId="0" fillId="4" borderId="4" xfId="0" applyNumberFormat="1" applyFill="1" applyBorder="1" applyProtection="1">
      <protection locked="0"/>
    </xf>
    <xf numFmtId="9" fontId="13" fillId="4" borderId="88" xfId="0" applyNumberFormat="1" applyFont="1" applyFill="1" applyBorder="1" applyProtection="1">
      <protection locked="0"/>
    </xf>
    <xf numFmtId="165" fontId="0" fillId="0" borderId="7" xfId="0" applyNumberFormat="1" applyBorder="1" applyProtection="1">
      <protection locked="0"/>
    </xf>
    <xf numFmtId="0" fontId="0" fillId="4" borderId="0" xfId="0" applyFill="1" applyAlignment="1">
      <alignment horizontal="left" vertical="center" wrapText="1"/>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4" borderId="23" xfId="0" applyFont="1" applyFill="1" applyBorder="1"/>
    <xf numFmtId="0" fontId="1" fillId="4" borderId="22" xfId="0" applyFont="1" applyFill="1" applyBorder="1" applyAlignment="1">
      <alignment horizontal="center"/>
    </xf>
    <xf numFmtId="0" fontId="0" fillId="4" borderId="5" xfId="0" applyFill="1" applyBorder="1"/>
    <xf numFmtId="0" fontId="0" fillId="4" borderId="6" xfId="0" applyFill="1" applyBorder="1"/>
    <xf numFmtId="0" fontId="0" fillId="4" borderId="2" xfId="0" applyFill="1" applyBorder="1"/>
    <xf numFmtId="165" fontId="0" fillId="0" borderId="32" xfId="0" applyNumberFormat="1" applyBorder="1"/>
    <xf numFmtId="165" fontId="0" fillId="4" borderId="31" xfId="0" applyNumberFormat="1" applyFill="1" applyBorder="1"/>
    <xf numFmtId="165" fontId="37" fillId="0" borderId="30" xfId="0" applyNumberFormat="1" applyFont="1" applyBorder="1"/>
    <xf numFmtId="165" fontId="0" fillId="0" borderId="39" xfId="0" applyNumberFormat="1" applyBorder="1"/>
    <xf numFmtId="165" fontId="0" fillId="4" borderId="38" xfId="0" applyNumberFormat="1" applyFill="1" applyBorder="1"/>
    <xf numFmtId="165" fontId="0" fillId="8" borderId="39" xfId="0" applyNumberFormat="1" applyFill="1" applyBorder="1"/>
    <xf numFmtId="165" fontId="0" fillId="8" borderId="38" xfId="0" applyNumberFormat="1" applyFill="1" applyBorder="1"/>
    <xf numFmtId="165" fontId="0" fillId="8" borderId="18" xfId="0" applyNumberFormat="1" applyFill="1" applyBorder="1"/>
    <xf numFmtId="165" fontId="0" fillId="8" borderId="46" xfId="0" applyNumberFormat="1" applyFill="1" applyBorder="1"/>
    <xf numFmtId="165" fontId="37" fillId="4" borderId="38" xfId="0" applyNumberFormat="1" applyFont="1" applyFill="1" applyBorder="1"/>
    <xf numFmtId="1" fontId="0" fillId="11" borderId="54" xfId="0" applyNumberFormat="1" applyFill="1" applyBorder="1"/>
    <xf numFmtId="9" fontId="0" fillId="11" borderId="7" xfId="0" applyNumberFormat="1" applyFill="1" applyBorder="1" applyProtection="1">
      <protection locked="0"/>
    </xf>
    <xf numFmtId="14" fontId="0" fillId="23" borderId="0" xfId="0" applyNumberFormat="1" applyFill="1"/>
    <xf numFmtId="0" fontId="1" fillId="24" borderId="2" xfId="0" applyFont="1" applyFill="1" applyBorder="1" applyAlignment="1">
      <alignment horizontal="center" vertical="center" wrapText="1"/>
    </xf>
    <xf numFmtId="0" fontId="1" fillId="3" borderId="24" xfId="0" applyFont="1" applyFill="1" applyBorder="1" applyAlignment="1">
      <alignment horizontal="center" vertical="center" wrapText="1"/>
    </xf>
    <xf numFmtId="165" fontId="1" fillId="4" borderId="0" xfId="0" applyNumberFormat="1" applyFont="1" applyFill="1" applyAlignment="1">
      <alignment horizontal="right" vertical="center"/>
    </xf>
    <xf numFmtId="0" fontId="0" fillId="11" borderId="0" xfId="0" applyFill="1"/>
    <xf numFmtId="9" fontId="0" fillId="11" borderId="0" xfId="0" applyNumberFormat="1" applyFill="1"/>
    <xf numFmtId="9" fontId="0" fillId="11" borderId="7" xfId="0" applyNumberFormat="1" applyFill="1" applyBorder="1" applyAlignment="1">
      <alignment horizontal="center"/>
    </xf>
    <xf numFmtId="0" fontId="1" fillId="4" borderId="7" xfId="0" applyFont="1" applyFill="1" applyBorder="1"/>
    <xf numFmtId="0" fontId="0" fillId="4" borderId="7" xfId="0" applyFill="1" applyBorder="1" applyAlignment="1">
      <alignment horizontal="center" vertical="center"/>
    </xf>
    <xf numFmtId="0" fontId="0" fillId="11" borderId="60" xfId="0" applyFill="1" applyBorder="1"/>
    <xf numFmtId="2" fontId="0" fillId="11" borderId="26" xfId="0" applyNumberFormat="1" applyFill="1" applyBorder="1"/>
    <xf numFmtId="0" fontId="0" fillId="11" borderId="71" xfId="0" applyFill="1" applyBorder="1"/>
    <xf numFmtId="165" fontId="0" fillId="11" borderId="20" xfId="0" applyNumberFormat="1" applyFill="1" applyBorder="1" applyAlignment="1">
      <alignment horizontal="right"/>
    </xf>
    <xf numFmtId="165" fontId="0" fillId="11" borderId="79" xfId="0" applyNumberFormat="1" applyFill="1" applyBorder="1" applyAlignment="1">
      <alignment horizontal="right"/>
    </xf>
    <xf numFmtId="165" fontId="0" fillId="11" borderId="17" xfId="0" applyNumberFormat="1" applyFill="1" applyBorder="1" applyAlignment="1">
      <alignment horizontal="right"/>
    </xf>
    <xf numFmtId="165" fontId="0" fillId="15" borderId="20" xfId="0" applyNumberFormat="1" applyFill="1" applyBorder="1" applyAlignment="1">
      <alignment horizontal="center"/>
    </xf>
    <xf numFmtId="165" fontId="0" fillId="15" borderId="79" xfId="0" applyNumberFormat="1" applyFill="1" applyBorder="1" applyAlignment="1">
      <alignment horizontal="center"/>
    </xf>
    <xf numFmtId="165" fontId="0" fillId="15" borderId="1" xfId="0" applyNumberFormat="1" applyFill="1" applyBorder="1" applyAlignment="1">
      <alignment horizontal="center"/>
    </xf>
    <xf numFmtId="165" fontId="0" fillId="11" borderId="71" xfId="0" applyNumberFormat="1" applyFill="1" applyBorder="1" applyAlignment="1">
      <alignment horizontal="right"/>
    </xf>
    <xf numFmtId="165" fontId="0" fillId="11" borderId="60" xfId="0" applyNumberFormat="1" applyFill="1" applyBorder="1" applyAlignment="1">
      <alignment horizontal="right"/>
    </xf>
    <xf numFmtId="165" fontId="0" fillId="11" borderId="26" xfId="0" applyNumberFormat="1" applyFill="1" applyBorder="1" applyAlignment="1">
      <alignment horizontal="right"/>
    </xf>
    <xf numFmtId="165" fontId="0" fillId="11" borderId="70" xfId="0" applyNumberFormat="1" applyFill="1" applyBorder="1" applyAlignment="1">
      <alignment horizontal="right"/>
    </xf>
    <xf numFmtId="165" fontId="0" fillId="11" borderId="5" xfId="0" applyNumberFormat="1" applyFill="1" applyBorder="1" applyAlignment="1">
      <alignment horizontal="right"/>
    </xf>
    <xf numFmtId="165" fontId="1" fillId="11" borderId="2" xfId="0" applyNumberFormat="1" applyFont="1" applyFill="1" applyBorder="1" applyAlignment="1">
      <alignment horizontal="right"/>
    </xf>
    <xf numFmtId="165" fontId="0" fillId="11" borderId="2" xfId="0" applyNumberFormat="1" applyFill="1" applyBorder="1" applyAlignment="1">
      <alignment horizontal="right"/>
    </xf>
    <xf numFmtId="165" fontId="0" fillId="11" borderId="19" xfId="0" applyNumberFormat="1" applyFill="1" applyBorder="1" applyAlignment="1">
      <alignment horizontal="right"/>
    </xf>
    <xf numFmtId="165" fontId="1" fillId="11" borderId="5" xfId="0" applyNumberFormat="1" applyFont="1" applyFill="1" applyBorder="1" applyAlignment="1">
      <alignment horizontal="right"/>
    </xf>
    <xf numFmtId="164" fontId="0" fillId="11" borderId="79" xfId="0" applyNumberFormat="1" applyFill="1" applyBorder="1" applyAlignment="1">
      <alignment horizontal="center"/>
    </xf>
    <xf numFmtId="164" fontId="0" fillId="11" borderId="17" xfId="0" applyNumberFormat="1" applyFill="1" applyBorder="1" applyAlignment="1">
      <alignment horizontal="center"/>
    </xf>
    <xf numFmtId="164" fontId="27" fillId="15" borderId="26" xfId="0" applyNumberFormat="1" applyFont="1" applyFill="1" applyBorder="1" applyAlignment="1">
      <alignment horizontal="center"/>
    </xf>
    <xf numFmtId="164" fontId="27" fillId="15" borderId="71" xfId="0" applyNumberFormat="1" applyFont="1" applyFill="1" applyBorder="1" applyAlignment="1">
      <alignment horizontal="center"/>
    </xf>
    <xf numFmtId="164" fontId="27" fillId="15" borderId="60" xfId="0" applyNumberFormat="1" applyFont="1" applyFill="1" applyBorder="1" applyAlignment="1">
      <alignment horizontal="center"/>
    </xf>
    <xf numFmtId="165" fontId="0" fillId="4" borderId="19" xfId="0" applyNumberFormat="1" applyFill="1" applyBorder="1" applyAlignment="1">
      <alignment horizontal="right" vertical="center"/>
    </xf>
    <xf numFmtId="165" fontId="1" fillId="4" borderId="53" xfId="0" applyNumberFormat="1" applyFont="1" applyFill="1" applyBorder="1" applyAlignment="1">
      <alignment horizontal="center" vertical="center"/>
    </xf>
    <xf numFmtId="165" fontId="0" fillId="4" borderId="53" xfId="0" applyNumberFormat="1" applyFill="1" applyBorder="1" applyAlignment="1">
      <alignment horizontal="right" vertical="center"/>
    </xf>
    <xf numFmtId="165" fontId="1" fillId="4" borderId="53" xfId="0" applyNumberFormat="1" applyFont="1" applyFill="1" applyBorder="1" applyAlignment="1">
      <alignment horizontal="right" vertical="center"/>
    </xf>
    <xf numFmtId="0" fontId="26" fillId="11" borderId="0" xfId="0" applyFont="1" applyFill="1"/>
    <xf numFmtId="0" fontId="26" fillId="11" borderId="0" xfId="0" applyFont="1" applyFill="1" applyAlignment="1">
      <alignment horizontal="left"/>
    </xf>
    <xf numFmtId="9" fontId="0" fillId="4" borderId="71" xfId="0" applyNumberFormat="1" applyFill="1" applyBorder="1"/>
    <xf numFmtId="9" fontId="3" fillId="21" borderId="92" xfId="0" applyNumberFormat="1" applyFont="1" applyFill="1" applyBorder="1" applyAlignment="1">
      <alignment horizontal="center" vertical="center"/>
    </xf>
    <xf numFmtId="165" fontId="0" fillId="0" borderId="0" xfId="0" applyNumberFormat="1"/>
    <xf numFmtId="0" fontId="0" fillId="11" borderId="19" xfId="0" applyFill="1" applyBorder="1"/>
    <xf numFmtId="0" fontId="0" fillId="11" borderId="53" xfId="0" applyFill="1" applyBorder="1" applyAlignment="1">
      <alignment horizontal="center"/>
    </xf>
    <xf numFmtId="0" fontId="0" fillId="11" borderId="70" xfId="0" applyFill="1" applyBorder="1"/>
    <xf numFmtId="0" fontId="0" fillId="11" borderId="0" xfId="0" applyFill="1" applyAlignment="1">
      <alignment horizontal="center"/>
    </xf>
    <xf numFmtId="0" fontId="0" fillId="11" borderId="16" xfId="0" applyFill="1" applyBorder="1"/>
    <xf numFmtId="0" fontId="0" fillId="11" borderId="18" xfId="0" applyFill="1" applyBorder="1" applyAlignment="1">
      <alignment horizontal="center"/>
    </xf>
    <xf numFmtId="164" fontId="0" fillId="11" borderId="26" xfId="0" applyNumberFormat="1" applyFill="1" applyBorder="1" applyAlignment="1">
      <alignment horizontal="center"/>
    </xf>
    <xf numFmtId="164" fontId="0" fillId="11" borderId="71" xfId="0" applyNumberFormat="1" applyFill="1" applyBorder="1" applyAlignment="1">
      <alignment horizontal="center"/>
    </xf>
    <xf numFmtId="10" fontId="0" fillId="11" borderId="0" xfId="0" applyNumberFormat="1" applyFill="1"/>
    <xf numFmtId="166" fontId="0" fillId="4" borderId="53" xfId="0" applyNumberFormat="1" applyFill="1" applyBorder="1" applyAlignment="1">
      <alignment horizontal="center"/>
    </xf>
    <xf numFmtId="0" fontId="1" fillId="4" borderId="5"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right"/>
    </xf>
    <xf numFmtId="0" fontId="1" fillId="4" borderId="6" xfId="0" applyFont="1" applyFill="1" applyBorder="1" applyAlignment="1">
      <alignment horizontal="right"/>
    </xf>
    <xf numFmtId="0" fontId="1" fillId="4" borderId="2" xfId="0" applyFont="1" applyFill="1" applyBorder="1" applyAlignment="1">
      <alignment horizontal="right"/>
    </xf>
    <xf numFmtId="0" fontId="15" fillId="12" borderId="7" xfId="2" applyFont="1" applyFill="1" applyBorder="1" applyAlignment="1">
      <alignment horizontal="center" vertical="center" wrapText="1"/>
    </xf>
    <xf numFmtId="0" fontId="16" fillId="12" borderId="33" xfId="2" applyFont="1" applyFill="1" applyBorder="1" applyAlignment="1">
      <alignment horizontal="center" vertical="center" wrapText="1"/>
    </xf>
    <xf numFmtId="0" fontId="16" fillId="12" borderId="29" xfId="2" applyFont="1" applyFill="1" applyBorder="1" applyAlignment="1">
      <alignment horizontal="center" vertical="center" wrapText="1"/>
    </xf>
    <xf numFmtId="0" fontId="17" fillId="16" borderId="7" xfId="0" applyFont="1" applyFill="1" applyBorder="1" applyAlignment="1">
      <alignment horizontal="center" vertical="center" wrapText="1"/>
    </xf>
    <xf numFmtId="0" fontId="16" fillId="12" borderId="14" xfId="2" applyFont="1" applyFill="1" applyBorder="1" applyAlignment="1">
      <alignment horizontal="center" vertical="center" wrapText="1"/>
    </xf>
    <xf numFmtId="0" fontId="16" fillId="12" borderId="39" xfId="2" applyFont="1" applyFill="1" applyBorder="1" applyAlignment="1">
      <alignment horizontal="center" vertical="center" wrapText="1"/>
    </xf>
    <xf numFmtId="0" fontId="16" fillId="12" borderId="13" xfId="2" applyFont="1" applyFill="1" applyBorder="1" applyAlignment="1">
      <alignment horizontal="center" vertical="center" wrapText="1"/>
    </xf>
    <xf numFmtId="0" fontId="16" fillId="12" borderId="7" xfId="2" applyFont="1" applyFill="1" applyBorder="1" applyAlignment="1">
      <alignment horizontal="center" vertical="top" wrapText="1"/>
    </xf>
    <xf numFmtId="0" fontId="16" fillId="12" borderId="8" xfId="2" applyFont="1" applyFill="1" applyBorder="1" applyAlignment="1">
      <alignment horizontal="center" vertical="top" wrapText="1"/>
    </xf>
    <xf numFmtId="6" fontId="5" fillId="12" borderId="5" xfId="0" applyNumberFormat="1" applyFont="1" applyFill="1" applyBorder="1" applyAlignment="1">
      <alignment horizontal="center"/>
    </xf>
    <xf numFmtId="6" fontId="5" fillId="12" borderId="6" xfId="0" applyNumberFormat="1" applyFont="1" applyFill="1" applyBorder="1" applyAlignment="1">
      <alignment horizontal="center"/>
    </xf>
    <xf numFmtId="6" fontId="5" fillId="12" borderId="2" xfId="0" applyNumberFormat="1" applyFont="1" applyFill="1" applyBorder="1" applyAlignment="1">
      <alignment horizontal="center"/>
    </xf>
    <xf numFmtId="0" fontId="3" fillId="12" borderId="30" xfId="0" applyFont="1" applyFill="1" applyBorder="1" applyAlignment="1">
      <alignment horizontal="center" vertical="center"/>
    </xf>
    <xf numFmtId="0" fontId="3" fillId="12" borderId="45" xfId="0" applyFont="1" applyFill="1" applyBorder="1" applyAlignment="1">
      <alignment horizontal="center" vertical="center"/>
    </xf>
    <xf numFmtId="0" fontId="4" fillId="12" borderId="33" xfId="0" applyFont="1" applyFill="1" applyBorder="1" applyAlignment="1">
      <alignment horizontal="center" vertical="center" wrapText="1"/>
    </xf>
    <xf numFmtId="0" fontId="4" fillId="12" borderId="48" xfId="0" applyFont="1" applyFill="1" applyBorder="1" applyAlignment="1">
      <alignment horizontal="center" vertical="center" wrapText="1"/>
    </xf>
    <xf numFmtId="0" fontId="4" fillId="12" borderId="33" xfId="0" applyFont="1" applyFill="1" applyBorder="1" applyAlignment="1">
      <alignment horizontal="center" vertical="center"/>
    </xf>
    <xf numFmtId="0" fontId="3" fillId="12" borderId="31"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12" borderId="33" xfId="0" applyFont="1" applyFill="1" applyBorder="1" applyAlignment="1">
      <alignment horizontal="center" vertical="center"/>
    </xf>
    <xf numFmtId="0" fontId="3" fillId="12" borderId="48" xfId="0" applyFont="1" applyFill="1" applyBorder="1" applyAlignment="1">
      <alignment horizontal="center" vertical="center"/>
    </xf>
    <xf numFmtId="6" fontId="10" fillId="4" borderId="5" xfId="0" applyNumberFormat="1" applyFont="1" applyFill="1" applyBorder="1" applyAlignment="1">
      <alignment horizontal="center"/>
    </xf>
    <xf numFmtId="6" fontId="10" fillId="4" borderId="6" xfId="0" applyNumberFormat="1" applyFont="1" applyFill="1" applyBorder="1" applyAlignment="1">
      <alignment horizontal="center"/>
    </xf>
    <xf numFmtId="6" fontId="10" fillId="4" borderId="2" xfId="0" applyNumberFormat="1" applyFont="1" applyFill="1" applyBorder="1" applyAlignment="1">
      <alignment horizontal="center"/>
    </xf>
    <xf numFmtId="0" fontId="5" fillId="12" borderId="14" xfId="0" applyFont="1" applyFill="1" applyBorder="1" applyAlignment="1">
      <alignment horizontal="center"/>
    </xf>
    <xf numFmtId="0" fontId="5" fillId="12" borderId="39" xfId="0" applyFont="1" applyFill="1" applyBorder="1" applyAlignment="1">
      <alignment horizontal="center"/>
    </xf>
    <xf numFmtId="0" fontId="5" fillId="12" borderId="13" xfId="0" applyFont="1" applyFill="1" applyBorder="1" applyAlignment="1">
      <alignment horizontal="center"/>
    </xf>
    <xf numFmtId="0" fontId="5" fillId="12" borderId="7" xfId="0" applyFont="1" applyFill="1" applyBorder="1" applyAlignment="1">
      <alignment horizontal="center"/>
    </xf>
    <xf numFmtId="0" fontId="3" fillId="12" borderId="50" xfId="0" applyFont="1" applyFill="1" applyBorder="1" applyAlignment="1">
      <alignment horizontal="center" vertical="center" wrapText="1"/>
    </xf>
    <xf numFmtId="0" fontId="3" fillId="12" borderId="63" xfId="0" applyFont="1" applyFill="1" applyBorder="1" applyAlignment="1">
      <alignment horizontal="center" vertical="center" wrapText="1"/>
    </xf>
    <xf numFmtId="0" fontId="3" fillId="12" borderId="31" xfId="0" applyFont="1" applyFill="1" applyBorder="1" applyAlignment="1">
      <alignment horizontal="center" vertic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2" xfId="0" applyFont="1" applyFill="1" applyBorder="1" applyAlignment="1">
      <alignment horizontal="center"/>
    </xf>
    <xf numFmtId="0" fontId="3" fillId="12" borderId="3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4" xfId="0" applyFont="1" applyFill="1" applyBorder="1" applyAlignment="1">
      <alignment horizontal="center" vertical="center"/>
    </xf>
    <xf numFmtId="0" fontId="3" fillId="12" borderId="26" xfId="0" applyFont="1" applyFill="1" applyBorder="1" applyAlignment="1">
      <alignment horizontal="center" vertical="center" wrapText="1"/>
    </xf>
    <xf numFmtId="0" fontId="3" fillId="12" borderId="60" xfId="0" applyFont="1" applyFill="1" applyBorder="1" applyAlignment="1">
      <alignment horizontal="center" vertical="center" wrapText="1"/>
    </xf>
    <xf numFmtId="0" fontId="3" fillId="12" borderId="57" xfId="0" applyFont="1" applyFill="1" applyBorder="1" applyAlignment="1">
      <alignment horizontal="center" vertical="center" wrapText="1"/>
    </xf>
    <xf numFmtId="0" fontId="3" fillId="12" borderId="47"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17" xfId="0" applyFont="1" applyFill="1" applyBorder="1" applyAlignment="1">
      <alignment horizontal="center" vertical="center" wrapText="1"/>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2" xfId="0" applyFont="1" applyFill="1" applyBorder="1" applyAlignment="1">
      <alignment horizontal="center"/>
    </xf>
    <xf numFmtId="0" fontId="3" fillId="12" borderId="55" xfId="0" applyFont="1" applyFill="1" applyBorder="1" applyAlignment="1">
      <alignment horizontal="center" vertical="center" wrapText="1"/>
    </xf>
    <xf numFmtId="0" fontId="3" fillId="12" borderId="49"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3" fillId="12" borderId="32" xfId="0" applyFont="1" applyFill="1" applyBorder="1" applyAlignment="1">
      <alignment horizontal="center"/>
    </xf>
    <xf numFmtId="0" fontId="3" fillId="12" borderId="28" xfId="0" applyFont="1" applyFill="1" applyBorder="1" applyAlignment="1">
      <alignment horizontal="center"/>
    </xf>
    <xf numFmtId="0" fontId="3" fillId="12" borderId="55" xfId="0" applyFont="1" applyFill="1" applyBorder="1" applyAlignment="1">
      <alignment horizontal="center"/>
    </xf>
    <xf numFmtId="0" fontId="3" fillId="12" borderId="56" xfId="0" applyFont="1" applyFill="1" applyBorder="1" applyAlignment="1">
      <alignment horizontal="center"/>
    </xf>
    <xf numFmtId="0" fontId="3" fillId="12" borderId="58" xfId="0" applyFont="1" applyFill="1" applyBorder="1" applyAlignment="1">
      <alignment horizontal="center" vertical="center" wrapText="1"/>
    </xf>
    <xf numFmtId="0" fontId="3" fillId="12" borderId="62" xfId="0" applyFont="1" applyFill="1" applyBorder="1" applyAlignment="1">
      <alignment horizontal="center" vertical="center" wrapText="1"/>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2" xfId="0" applyFont="1" applyFill="1" applyBorder="1" applyAlignment="1">
      <alignment horizontal="center"/>
    </xf>
    <xf numFmtId="0" fontId="9" fillId="4" borderId="0" xfId="0" applyFont="1" applyFill="1" applyAlignment="1">
      <alignment horizontal="center"/>
    </xf>
    <xf numFmtId="0" fontId="3" fillId="5" borderId="19" xfId="0" applyFont="1" applyFill="1" applyBorder="1" applyAlignment="1">
      <alignment horizontal="center"/>
    </xf>
    <xf numFmtId="0" fontId="3" fillId="5" borderId="53" xfId="0" applyFont="1" applyFill="1" applyBorder="1" applyAlignment="1">
      <alignment horizontal="center"/>
    </xf>
    <xf numFmtId="0" fontId="3" fillId="5" borderId="20" xfId="0" applyFont="1"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9" fillId="20" borderId="0" xfId="0" applyFont="1" applyFill="1" applyAlignment="1">
      <alignment horizontal="right" vertical="center"/>
    </xf>
    <xf numFmtId="0" fontId="30" fillId="4" borderId="0" xfId="0" applyFont="1" applyFill="1" applyAlignment="1">
      <alignment horizontal="center" vertical="center"/>
    </xf>
    <xf numFmtId="0" fontId="30" fillId="4" borderId="0" xfId="0" applyFont="1" applyFill="1" applyAlignment="1">
      <alignment horizontal="center" wrapText="1"/>
    </xf>
    <xf numFmtId="0" fontId="30" fillId="4" borderId="0" xfId="0" applyFont="1" applyFill="1" applyAlignment="1">
      <alignment horizontal="center" vertical="center" wrapText="1"/>
    </xf>
    <xf numFmtId="0" fontId="29" fillId="20" borderId="0" xfId="0" applyFont="1" applyFill="1" applyAlignment="1">
      <alignment horizontal="center"/>
    </xf>
    <xf numFmtId="0" fontId="32" fillId="20" borderId="0" xfId="0" applyFont="1" applyFill="1" applyAlignment="1" applyProtection="1">
      <alignment horizontal="center" vertical="center"/>
      <protection locked="0"/>
    </xf>
    <xf numFmtId="0" fontId="0" fillId="4" borderId="0" xfId="0" applyFill="1" applyAlignment="1">
      <alignment horizontal="left" vertical="center" wrapText="1"/>
    </xf>
    <xf numFmtId="0" fontId="0" fillId="4" borderId="0" xfId="0" applyFill="1" applyAlignment="1">
      <alignment horizontal="center" wrapText="1"/>
    </xf>
    <xf numFmtId="0" fontId="1" fillId="4" borderId="0" xfId="0" applyFont="1" applyFill="1" applyAlignment="1">
      <alignment horizontal="left"/>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7" xfId="0" applyBorder="1" applyAlignment="1">
      <alignment horizontal="center" vertical="center" wrapText="1"/>
    </xf>
    <xf numFmtId="0" fontId="0" fillId="0" borderId="94" xfId="0" applyBorder="1" applyAlignment="1">
      <alignment horizontal="center"/>
    </xf>
  </cellXfs>
  <cellStyles count="4">
    <cellStyle name="Lien hypertexte" xfId="3" builtinId="8"/>
    <cellStyle name="Milliers 2" xfId="1" xr:uid="{2EF1E326-87CA-47F6-808D-D87DDB842704}"/>
    <cellStyle name="Normal" xfId="0" builtinId="0"/>
    <cellStyle name="Normal 2" xfId="2" xr:uid="{7C195030-E1D7-40CE-AC0E-E914C1E139D4}"/>
  </cellStyles>
  <dxfs count="25">
    <dxf>
      <fill>
        <patternFill>
          <bgColor rgb="FFFF0000"/>
        </patternFill>
      </fill>
    </dxf>
    <dxf>
      <font>
        <color theme="0"/>
      </font>
      <fill>
        <patternFill>
          <bgColor rgb="FFA50021"/>
        </patternFill>
      </fill>
    </dxf>
    <dxf>
      <fill>
        <patternFill>
          <bgColor theme="5" tint="0.59996337778862885"/>
        </patternFill>
      </fill>
    </dxf>
    <dxf>
      <font>
        <color theme="0"/>
      </font>
      <fill>
        <patternFill>
          <bgColor rgb="FFA50021"/>
        </patternFill>
      </fill>
    </dxf>
    <dxf>
      <fill>
        <patternFill>
          <bgColor theme="5" tint="0.59996337778862885"/>
        </patternFill>
      </fill>
    </dxf>
    <dxf>
      <font>
        <color theme="0"/>
      </font>
      <fill>
        <patternFill>
          <bgColor rgb="FFA50021"/>
        </patternFill>
      </fill>
    </dxf>
    <dxf>
      <fill>
        <patternFill>
          <bgColor theme="5" tint="0.59996337778862885"/>
        </patternFill>
      </fill>
    </dxf>
    <dxf>
      <font>
        <color theme="0"/>
      </font>
      <fill>
        <patternFill>
          <bgColor rgb="FFA50021"/>
        </patternFill>
      </fill>
    </dxf>
    <dxf>
      <fill>
        <patternFill>
          <bgColor theme="5" tint="0.59996337778862885"/>
        </patternFill>
      </fill>
    </dxf>
    <dxf>
      <font>
        <color theme="0"/>
      </font>
      <fill>
        <patternFill>
          <bgColor rgb="FFA50021"/>
        </patternFill>
      </fill>
    </dxf>
    <dxf>
      <fill>
        <patternFill>
          <bgColor theme="5" tint="0.59996337778862885"/>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14996795556505021"/>
        </patternFill>
      </fill>
    </dxf>
    <dxf>
      <fill>
        <patternFill>
          <bgColor rgb="FFFFFF00"/>
        </patternFill>
      </fill>
    </dxf>
    <dxf>
      <fill>
        <patternFill>
          <bgColor rgb="FF00B0F0"/>
        </patternFill>
      </fill>
    </dxf>
    <dxf>
      <fill>
        <patternFill>
          <bgColor rgb="FFFFFF00"/>
        </patternFill>
      </fill>
    </dxf>
    <dxf>
      <fill>
        <patternFill>
          <bgColor rgb="FF00B0F0"/>
        </patternFill>
      </fill>
    </dxf>
  </dxfs>
  <tableStyles count="0" defaultTableStyle="TableStyleMedium2" defaultPivotStyle="PivotStyleLight16"/>
  <colors>
    <mruColors>
      <color rgb="FFFF00FF"/>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
      <c:rotY val="5"/>
      <c:rAngAx val="0"/>
      <c:perspective val="10"/>
    </c:view3D>
    <c:floor>
      <c:thickness val="0"/>
    </c:floor>
    <c:sideWall>
      <c:thickness val="0"/>
    </c:sideWall>
    <c:backWall>
      <c:thickness val="0"/>
    </c:backWall>
    <c:plotArea>
      <c:layout>
        <c:manualLayout>
          <c:layoutTarget val="inner"/>
          <c:xMode val="edge"/>
          <c:yMode val="edge"/>
          <c:x val="8.8344975801703612E-2"/>
          <c:y val="9.4415720788542573E-2"/>
          <c:w val="0.90815088474057659"/>
          <c:h val="0.68933253135024775"/>
        </c:manualLayout>
      </c:layout>
      <c:bar3DChart>
        <c:barDir val="col"/>
        <c:grouping val="clustered"/>
        <c:varyColors val="0"/>
        <c:ser>
          <c:idx val="10"/>
          <c:order val="10"/>
          <c:tx>
            <c:strRef>
              <c:f>Matrices!$B$31</c:f>
              <c:strCache>
                <c:ptCount val="1"/>
                <c:pt idx="0">
                  <c:v>N+10</c:v>
                </c:pt>
              </c:strCache>
            </c:strRef>
          </c:tx>
          <c:invertIfNegative val="0"/>
          <c:dLbls>
            <c:dLbl>
              <c:idx val="0"/>
              <c:layout>
                <c:manualLayout>
                  <c:x val="5.2896720195092454E-3"/>
                  <c:y val="0.14444284151932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3257-4EA9-A3EE-834C0BB9E37E}"/>
                </c:ext>
              </c:extLst>
            </c:dLbl>
            <c:dLbl>
              <c:idx val="1"/>
              <c:layout>
                <c:manualLayout>
                  <c:x val="4.4465177367145579E-3"/>
                  <c:y val="0.16189480514582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3257-4EA9-A3EE-834C0BB9E37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(Matrices!$G$31,Matrices!$J$31)</c:f>
              <c:numCache>
                <c:formatCode>#\ ##0\ "€"</c:formatCode>
                <c:ptCount val="2"/>
                <c:pt idx="0">
                  <c:v>4254.8144594791538</c:v>
                </c:pt>
                <c:pt idx="1">
                  <c:v>2818.1293986614496</c:v>
                </c:pt>
              </c:numCache>
            </c:numRef>
          </c:val>
          <c:extLst>
            <c:ext xmlns:c16="http://schemas.microsoft.com/office/drawing/2014/chart" uri="{C3380CC4-5D6E-409C-BE32-E72D297353CC}">
              <c16:uniqueId val="{00000032-3257-4EA9-A3EE-834C0BB9E37E}"/>
            </c:ext>
          </c:extLst>
        </c:ser>
        <c:dLbls>
          <c:showLegendKey val="0"/>
          <c:showVal val="0"/>
          <c:showCatName val="0"/>
          <c:showSerName val="0"/>
          <c:showPercent val="0"/>
          <c:showBubbleSize val="0"/>
        </c:dLbls>
        <c:gapWidth val="150"/>
        <c:shape val="box"/>
        <c:axId val="118365184"/>
        <c:axId val="119916800"/>
        <c:axId val="0"/>
        <c:extLst>
          <c:ext xmlns:c15="http://schemas.microsoft.com/office/drawing/2012/chart" uri="{02D57815-91ED-43cb-92C2-25804820EDAC}">
            <c15:filteredBarSeries>
              <c15:ser>
                <c:idx val="0"/>
                <c:order val="0"/>
                <c:tx>
                  <c:strRef>
                    <c:extLst>
                      <c:ext uri="{02D57815-91ED-43cb-92C2-25804820EDAC}">
                        <c15:formulaRef>
                          <c15:sqref>Matrices!$B$21</c15:sqref>
                        </c15:formulaRef>
                      </c:ext>
                    </c:extLst>
                    <c:strCache>
                      <c:ptCount val="1"/>
                      <c:pt idx="0">
                        <c:v>N</c:v>
                      </c:pt>
                    </c:strCache>
                  </c:strRef>
                </c:tx>
                <c:spPr>
                  <a:ln>
                    <a:solidFill>
                      <a:schemeClr val="accent2"/>
                    </a:solidFill>
                  </a:ln>
                </c:spPr>
                <c:invertIfNegative val="0"/>
                <c:val>
                  <c:numRef>
                    <c:extLst>
                      <c:ext uri="{02D57815-91ED-43cb-92C2-25804820EDAC}">
                        <c15:formulaRef>
                          <c15:sqref>(Matrices!$G$21,Matrices!$J$21)</c15:sqref>
                        </c15:formulaRef>
                      </c:ext>
                    </c:extLst>
                    <c:numCache>
                      <c:formatCode>#\ ##0\ "€"</c:formatCode>
                      <c:ptCount val="2"/>
                      <c:pt idx="0">
                        <c:v>2670</c:v>
                      </c:pt>
                      <c:pt idx="1">
                        <c:v>2670</c:v>
                      </c:pt>
                    </c:numCache>
                  </c:numRef>
                </c:val>
                <c:extLst>
                  <c:ext xmlns:c16="http://schemas.microsoft.com/office/drawing/2014/chart" uri="{C3380CC4-5D6E-409C-BE32-E72D297353CC}">
                    <c16:uniqueId val="{00000000-3257-4EA9-A3EE-834C0BB9E37E}"/>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Matrices!$B$22</c15:sqref>
                        </c15:formulaRef>
                      </c:ext>
                    </c:extLst>
                    <c:strCache>
                      <c:ptCount val="1"/>
                      <c:pt idx="0">
                        <c:v>N+1</c:v>
                      </c:pt>
                    </c:strCache>
                  </c:strRef>
                </c:tx>
                <c:spPr>
                  <a:ln>
                    <a:solidFill>
                      <a:srgbClr val="00B050"/>
                    </a:solidFill>
                  </a:ln>
                </c:spPr>
                <c:invertIfNegative val="0"/>
                <c:val>
                  <c:numRef>
                    <c:extLst xmlns:c15="http://schemas.microsoft.com/office/drawing/2012/chart">
                      <c:ext xmlns:c15="http://schemas.microsoft.com/office/drawing/2012/chart" uri="{02D57815-91ED-43cb-92C2-25804820EDAC}">
                        <c15:formulaRef>
                          <c15:sqref>(Matrices!$G$22,Matrices!$J$22)</c15:sqref>
                        </c15:formulaRef>
                      </c:ext>
                    </c:extLst>
                    <c:numCache>
                      <c:formatCode>#\ ##0\ "€"</c:formatCode>
                      <c:ptCount val="2"/>
                      <c:pt idx="0">
                        <c:v>2796</c:v>
                      </c:pt>
                      <c:pt idx="1">
                        <c:v>1869.9</c:v>
                      </c:pt>
                    </c:numCache>
                  </c:numRef>
                </c:val>
                <c:extLst xmlns:c15="http://schemas.microsoft.com/office/drawing/2012/chart">
                  <c:ext xmlns:c16="http://schemas.microsoft.com/office/drawing/2014/chart" uri="{C3380CC4-5D6E-409C-BE32-E72D297353CC}">
                    <c16:uniqueId val="{00000001-3257-4EA9-A3EE-834C0BB9E37E}"/>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Matrices!$B$23</c15:sqref>
                        </c15:formulaRef>
                      </c:ext>
                    </c:extLst>
                    <c:strCache>
                      <c:ptCount val="1"/>
                      <c:pt idx="0">
                        <c:v>N+2</c:v>
                      </c:pt>
                    </c:strCache>
                  </c:strRef>
                </c:tx>
                <c:invertIfNegative val="0"/>
                <c:val>
                  <c:numRef>
                    <c:extLst xmlns:c15="http://schemas.microsoft.com/office/drawing/2012/chart">
                      <c:ext xmlns:c15="http://schemas.microsoft.com/office/drawing/2012/chart" uri="{02D57815-91ED-43cb-92C2-25804820EDAC}">
                        <c15:formulaRef>
                          <c15:sqref>(Matrices!$G$23,Matrices!$J$23)</c15:sqref>
                        </c15:formulaRef>
                      </c:ext>
                    </c:extLst>
                    <c:numCache>
                      <c:formatCode>#\ ##0\ "€"</c:formatCode>
                      <c:ptCount val="2"/>
                      <c:pt idx="0">
                        <c:v>2928.3</c:v>
                      </c:pt>
                      <c:pt idx="1">
                        <c:v>1955.8950000000002</c:v>
                      </c:pt>
                    </c:numCache>
                  </c:numRef>
                </c:val>
                <c:extLst xmlns:c15="http://schemas.microsoft.com/office/drawing/2012/chart">
                  <c:ext xmlns:c16="http://schemas.microsoft.com/office/drawing/2014/chart" uri="{C3380CC4-5D6E-409C-BE32-E72D297353CC}">
                    <c16:uniqueId val="{0000002A-3257-4EA9-A3EE-834C0BB9E37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Matrices!$B$24</c15:sqref>
                        </c15:formulaRef>
                      </c:ext>
                    </c:extLst>
                    <c:strCache>
                      <c:ptCount val="1"/>
                      <c:pt idx="0">
                        <c:v>N+3</c:v>
                      </c:pt>
                    </c:strCache>
                  </c:strRef>
                </c:tx>
                <c:invertIfNegative val="0"/>
                <c:val>
                  <c:numRef>
                    <c:extLst xmlns:c15="http://schemas.microsoft.com/office/drawing/2012/chart">
                      <c:ext xmlns:c15="http://schemas.microsoft.com/office/drawing/2012/chart" uri="{02D57815-91ED-43cb-92C2-25804820EDAC}">
                        <c15:formulaRef>
                          <c15:sqref>(Matrices!$G$24,Matrices!$J$24)</c15:sqref>
                        </c15:formulaRef>
                      </c:ext>
                    </c:extLst>
                    <c:numCache>
                      <c:formatCode>#\ ##0\ "€"</c:formatCode>
                      <c:ptCount val="2"/>
                      <c:pt idx="0">
                        <c:v>3067.2150000000001</c:v>
                      </c:pt>
                      <c:pt idx="1">
                        <c:v>2046.1897500000002</c:v>
                      </c:pt>
                    </c:numCache>
                  </c:numRef>
                </c:val>
                <c:extLst xmlns:c15="http://schemas.microsoft.com/office/drawing/2012/chart">
                  <c:ext xmlns:c16="http://schemas.microsoft.com/office/drawing/2014/chart" uri="{C3380CC4-5D6E-409C-BE32-E72D297353CC}">
                    <c16:uniqueId val="{0000002B-3257-4EA9-A3EE-834C0BB9E37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Matrices!$B$25</c15:sqref>
                        </c15:formulaRef>
                      </c:ext>
                    </c:extLst>
                    <c:strCache>
                      <c:ptCount val="1"/>
                      <c:pt idx="0">
                        <c:v>N+4</c:v>
                      </c:pt>
                    </c:strCache>
                  </c:strRef>
                </c:tx>
                <c:invertIfNegative val="0"/>
                <c:val>
                  <c:numRef>
                    <c:extLst xmlns:c15="http://schemas.microsoft.com/office/drawing/2012/chart">
                      <c:ext xmlns:c15="http://schemas.microsoft.com/office/drawing/2012/chart" uri="{02D57815-91ED-43cb-92C2-25804820EDAC}">
                        <c15:formulaRef>
                          <c15:sqref>(Matrices!$G$25,Matrices!$J$25)</c15:sqref>
                        </c15:formulaRef>
                      </c:ext>
                    </c:extLst>
                    <c:numCache>
                      <c:formatCode>#\ ##0\ "€"</c:formatCode>
                      <c:ptCount val="2"/>
                      <c:pt idx="0">
                        <c:v>3213.0757500000004</c:v>
                      </c:pt>
                      <c:pt idx="1">
                        <c:v>2140.9992375000002</c:v>
                      </c:pt>
                    </c:numCache>
                  </c:numRef>
                </c:val>
                <c:extLst xmlns:c15="http://schemas.microsoft.com/office/drawing/2012/chart">
                  <c:ext xmlns:c16="http://schemas.microsoft.com/office/drawing/2014/chart" uri="{C3380CC4-5D6E-409C-BE32-E72D297353CC}">
                    <c16:uniqueId val="{0000002C-3257-4EA9-A3EE-834C0BB9E37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Matrices!$B$26</c15:sqref>
                        </c15:formulaRef>
                      </c:ext>
                    </c:extLst>
                    <c:strCache>
                      <c:ptCount val="1"/>
                      <c:pt idx="0">
                        <c:v>N+5</c:v>
                      </c:pt>
                    </c:strCache>
                  </c:strRef>
                </c:tx>
                <c:invertIfNegative val="0"/>
                <c:val>
                  <c:numRef>
                    <c:extLst xmlns:c15="http://schemas.microsoft.com/office/drawing/2012/chart">
                      <c:ext xmlns:c15="http://schemas.microsoft.com/office/drawing/2012/chart" uri="{02D57815-91ED-43cb-92C2-25804820EDAC}">
                        <c15:formulaRef>
                          <c15:sqref>(Matrices!$G$26,Matrices!$J$26)</c15:sqref>
                        </c15:formulaRef>
                      </c:ext>
                    </c:extLst>
                    <c:numCache>
                      <c:formatCode>#\ ##0\ "€"</c:formatCode>
                      <c:ptCount val="2"/>
                      <c:pt idx="0">
                        <c:v>3366.2295375000003</c:v>
                      </c:pt>
                      <c:pt idx="1">
                        <c:v>2240.5491993750002</c:v>
                      </c:pt>
                    </c:numCache>
                  </c:numRef>
                </c:val>
                <c:extLst xmlns:c15="http://schemas.microsoft.com/office/drawing/2012/chart">
                  <c:ext xmlns:c16="http://schemas.microsoft.com/office/drawing/2014/chart" uri="{C3380CC4-5D6E-409C-BE32-E72D297353CC}">
                    <c16:uniqueId val="{0000002D-3257-4EA9-A3EE-834C0BB9E37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Matrices!$B$27</c15:sqref>
                        </c15:formulaRef>
                      </c:ext>
                    </c:extLst>
                    <c:strCache>
                      <c:ptCount val="1"/>
                      <c:pt idx="0">
                        <c:v>N+6</c:v>
                      </c:pt>
                    </c:strCache>
                  </c:strRef>
                </c:tx>
                <c:invertIfNegative val="0"/>
                <c:val>
                  <c:numRef>
                    <c:extLst xmlns:c15="http://schemas.microsoft.com/office/drawing/2012/chart">
                      <c:ext xmlns:c15="http://schemas.microsoft.com/office/drawing/2012/chart" uri="{02D57815-91ED-43cb-92C2-25804820EDAC}">
                        <c15:formulaRef>
                          <c15:sqref>(Matrices!$G$27,Matrices!$J$27)</c15:sqref>
                        </c15:formulaRef>
                      </c:ext>
                    </c:extLst>
                    <c:numCache>
                      <c:formatCode>#\ ##0\ "€"</c:formatCode>
                      <c:ptCount val="2"/>
                      <c:pt idx="0">
                        <c:v>3527.0410143750005</c:v>
                      </c:pt>
                      <c:pt idx="1">
                        <c:v>2345.0766593437506</c:v>
                      </c:pt>
                    </c:numCache>
                  </c:numRef>
                </c:val>
                <c:extLst xmlns:c15="http://schemas.microsoft.com/office/drawing/2012/chart">
                  <c:ext xmlns:c16="http://schemas.microsoft.com/office/drawing/2014/chart" uri="{C3380CC4-5D6E-409C-BE32-E72D297353CC}">
                    <c16:uniqueId val="{0000002E-3257-4EA9-A3EE-834C0BB9E37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Matrices!$B$28</c15:sqref>
                        </c15:formulaRef>
                      </c:ext>
                    </c:extLst>
                    <c:strCache>
                      <c:ptCount val="1"/>
                      <c:pt idx="0">
                        <c:v>N+7</c:v>
                      </c:pt>
                    </c:strCache>
                  </c:strRef>
                </c:tx>
                <c:invertIfNegative val="0"/>
                <c:val>
                  <c:numRef>
                    <c:extLst xmlns:c15="http://schemas.microsoft.com/office/drawing/2012/chart">
                      <c:ext xmlns:c15="http://schemas.microsoft.com/office/drawing/2012/chart" uri="{02D57815-91ED-43cb-92C2-25804820EDAC}">
                        <c15:formulaRef>
                          <c15:sqref>(Matrices!$G$28,Matrices!$J$28)</c15:sqref>
                        </c15:formulaRef>
                      </c:ext>
                    </c:extLst>
                    <c:numCache>
                      <c:formatCode>#\ ##0\ "€"</c:formatCode>
                      <c:ptCount val="2"/>
                      <c:pt idx="0">
                        <c:v>3695.8930650937509</c:v>
                      </c:pt>
                      <c:pt idx="1">
                        <c:v>2454.8304923109381</c:v>
                      </c:pt>
                    </c:numCache>
                  </c:numRef>
                </c:val>
                <c:extLst xmlns:c15="http://schemas.microsoft.com/office/drawing/2012/chart">
                  <c:ext xmlns:c16="http://schemas.microsoft.com/office/drawing/2014/chart" uri="{C3380CC4-5D6E-409C-BE32-E72D297353CC}">
                    <c16:uniqueId val="{0000002F-3257-4EA9-A3EE-834C0BB9E37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Matrices!$B$29</c15:sqref>
                        </c15:formulaRef>
                      </c:ext>
                    </c:extLst>
                    <c:strCache>
                      <c:ptCount val="1"/>
                      <c:pt idx="0">
                        <c:v>N+8</c:v>
                      </c:pt>
                    </c:strCache>
                  </c:strRef>
                </c:tx>
                <c:invertIfNegative val="0"/>
                <c:val>
                  <c:numRef>
                    <c:extLst xmlns:c15="http://schemas.microsoft.com/office/drawing/2012/chart">
                      <c:ext xmlns:c15="http://schemas.microsoft.com/office/drawing/2012/chart" uri="{02D57815-91ED-43cb-92C2-25804820EDAC}">
                        <c15:formulaRef>
                          <c15:sqref>(Matrices!$G$29,Matrices!$J$29)</c15:sqref>
                        </c15:formulaRef>
                      </c:ext>
                    </c:extLst>
                    <c:numCache>
                      <c:formatCode>#\ ##0\ "€"</c:formatCode>
                      <c:ptCount val="2"/>
                      <c:pt idx="0">
                        <c:v>3873.1877183484385</c:v>
                      </c:pt>
                      <c:pt idx="1">
                        <c:v>2570.072016926485</c:v>
                      </c:pt>
                    </c:numCache>
                  </c:numRef>
                </c:val>
                <c:extLst xmlns:c15="http://schemas.microsoft.com/office/drawing/2012/chart">
                  <c:ext xmlns:c16="http://schemas.microsoft.com/office/drawing/2014/chart" uri="{C3380CC4-5D6E-409C-BE32-E72D297353CC}">
                    <c16:uniqueId val="{00000030-3257-4EA9-A3EE-834C0BB9E37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Matrices!$B$30</c15:sqref>
                        </c15:formulaRef>
                      </c:ext>
                    </c:extLst>
                    <c:strCache>
                      <c:ptCount val="1"/>
                      <c:pt idx="0">
                        <c:v>N+9</c:v>
                      </c:pt>
                    </c:strCache>
                  </c:strRef>
                </c:tx>
                <c:invertIfNegative val="0"/>
                <c:val>
                  <c:numRef>
                    <c:extLst xmlns:c15="http://schemas.microsoft.com/office/drawing/2012/chart">
                      <c:ext xmlns:c15="http://schemas.microsoft.com/office/drawing/2012/chart" uri="{02D57815-91ED-43cb-92C2-25804820EDAC}">
                        <c15:formulaRef>
                          <c15:sqref>(Matrices!$G$30,Matrices!$J$30)</c15:sqref>
                        </c15:formulaRef>
                      </c:ext>
                    </c:extLst>
                    <c:numCache>
                      <c:formatCode>#\ ##0\ "€"</c:formatCode>
                      <c:ptCount val="2"/>
                      <c:pt idx="0">
                        <c:v>4059.3471042658607</c:v>
                      </c:pt>
                      <c:pt idx="1">
                        <c:v>2691.0756177728094</c:v>
                      </c:pt>
                    </c:numCache>
                  </c:numRef>
                </c:val>
                <c:extLst xmlns:c15="http://schemas.microsoft.com/office/drawing/2012/chart">
                  <c:ext xmlns:c16="http://schemas.microsoft.com/office/drawing/2014/chart" uri="{C3380CC4-5D6E-409C-BE32-E72D297353CC}">
                    <c16:uniqueId val="{00000031-3257-4EA9-A3EE-834C0BB9E37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Matrices!$B$32</c15:sqref>
                        </c15:formulaRef>
                      </c:ext>
                    </c:extLst>
                    <c:strCache>
                      <c:ptCount val="1"/>
                      <c:pt idx="0">
                        <c:v>N+11</c:v>
                      </c:pt>
                    </c:strCache>
                  </c:strRef>
                </c:tx>
                <c:invertIfNegative val="0"/>
                <c:val>
                  <c:numRef>
                    <c:extLst xmlns:c15="http://schemas.microsoft.com/office/drawing/2012/chart">
                      <c:ext xmlns:c15="http://schemas.microsoft.com/office/drawing/2012/chart" uri="{02D57815-91ED-43cb-92C2-25804820EDAC}">
                        <c15:formulaRef>
                          <c15:sqref>(Matrices!$G$32,Matrices!$J$32)</c15:sqref>
                        </c15:formulaRef>
                      </c:ext>
                    </c:extLst>
                    <c:numCache>
                      <c:formatCode>#\ ##0\ "€"</c:formatCode>
                      <c:ptCount val="2"/>
                      <c:pt idx="0">
                        <c:v>4460.0551824531112</c:v>
                      </c:pt>
                      <c:pt idx="1">
                        <c:v>2951.5358685945225</c:v>
                      </c:pt>
                    </c:numCache>
                  </c:numRef>
                </c:val>
                <c:extLst xmlns:c15="http://schemas.microsoft.com/office/drawing/2012/chart">
                  <c:ext xmlns:c16="http://schemas.microsoft.com/office/drawing/2014/chart" uri="{C3380CC4-5D6E-409C-BE32-E72D297353CC}">
                    <c16:uniqueId val="{00000033-3257-4EA9-A3EE-834C0BB9E37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Matrices!$B$33</c15:sqref>
                        </c15:formulaRef>
                      </c:ext>
                    </c:extLst>
                    <c:strCache>
                      <c:ptCount val="1"/>
                      <c:pt idx="0">
                        <c:v>N+12</c:v>
                      </c:pt>
                    </c:strCache>
                  </c:strRef>
                </c:tx>
                <c:invertIfNegative val="0"/>
                <c:val>
                  <c:numRef>
                    <c:extLst xmlns:c15="http://schemas.microsoft.com/office/drawing/2012/chart">
                      <c:ext xmlns:c15="http://schemas.microsoft.com/office/drawing/2012/chart" uri="{02D57815-91ED-43cb-92C2-25804820EDAC}">
                        <c15:formulaRef>
                          <c15:sqref>(Matrices!$G$33,Matrices!$J$33)</c15:sqref>
                        </c15:formulaRef>
                      </c:ext>
                    </c:extLst>
                    <c:numCache>
                      <c:formatCode>#\ ##0\ "€"</c:formatCode>
                      <c:ptCount val="2"/>
                      <c:pt idx="0">
                        <c:v>4675.5579415757666</c:v>
                      </c:pt>
                      <c:pt idx="1">
                        <c:v>3091.6126620242485</c:v>
                      </c:pt>
                    </c:numCache>
                  </c:numRef>
                </c:val>
                <c:extLst xmlns:c15="http://schemas.microsoft.com/office/drawing/2012/chart">
                  <c:ext xmlns:c16="http://schemas.microsoft.com/office/drawing/2014/chart" uri="{C3380CC4-5D6E-409C-BE32-E72D297353CC}">
                    <c16:uniqueId val="{00000034-3257-4EA9-A3EE-834C0BB9E37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Matrices!$B$34</c15:sqref>
                        </c15:formulaRef>
                      </c:ext>
                    </c:extLst>
                    <c:strCache>
                      <c:ptCount val="1"/>
                      <c:pt idx="0">
                        <c:v>N+13</c:v>
                      </c:pt>
                    </c:strCache>
                  </c:strRef>
                </c:tx>
                <c:invertIfNegative val="0"/>
                <c:val>
                  <c:numRef>
                    <c:extLst xmlns:c15="http://schemas.microsoft.com/office/drawing/2012/chart">
                      <c:ext xmlns:c15="http://schemas.microsoft.com/office/drawing/2012/chart" uri="{02D57815-91ED-43cb-92C2-25804820EDAC}">
                        <c15:formulaRef>
                          <c15:sqref>(Matrices!$G$34,Matrices!$J$34)</c15:sqref>
                        </c15:formulaRef>
                      </c:ext>
                    </c:extLst>
                    <c:numCache>
                      <c:formatCode>#\ ##0\ "€"</c:formatCode>
                      <c:ptCount val="2"/>
                      <c:pt idx="0">
                        <c:v>4901.835838654556</c:v>
                      </c:pt>
                      <c:pt idx="1">
                        <c:v>3238.6932951254612</c:v>
                      </c:pt>
                    </c:numCache>
                  </c:numRef>
                </c:val>
                <c:extLst xmlns:c15="http://schemas.microsoft.com/office/drawing/2012/chart">
                  <c:ext xmlns:c16="http://schemas.microsoft.com/office/drawing/2014/chart" uri="{C3380CC4-5D6E-409C-BE32-E72D297353CC}">
                    <c16:uniqueId val="{00000035-3257-4EA9-A3EE-834C0BB9E37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Matrices!$B$35</c15:sqref>
                        </c15:formulaRef>
                      </c:ext>
                    </c:extLst>
                    <c:strCache>
                      <c:ptCount val="1"/>
                      <c:pt idx="0">
                        <c:v>N+14</c:v>
                      </c:pt>
                    </c:strCache>
                  </c:strRef>
                </c:tx>
                <c:invertIfNegative val="0"/>
                <c:val>
                  <c:numRef>
                    <c:extLst xmlns:c15="http://schemas.microsoft.com/office/drawing/2012/chart">
                      <c:ext xmlns:c15="http://schemas.microsoft.com/office/drawing/2012/chart" uri="{02D57815-91ED-43cb-92C2-25804820EDAC}">
                        <c15:formulaRef>
                          <c15:sqref>(Matrices!$G$35,Matrices!$J$35)</c15:sqref>
                        </c15:formulaRef>
                      </c:ext>
                    </c:extLst>
                    <c:numCache>
                      <c:formatCode>#\ ##0\ "€"</c:formatCode>
                      <c:ptCount val="2"/>
                      <c:pt idx="0">
                        <c:v>5139.4276305872836</c:v>
                      </c:pt>
                      <c:pt idx="1">
                        <c:v>3393.1279598817346</c:v>
                      </c:pt>
                    </c:numCache>
                  </c:numRef>
                </c:val>
                <c:extLst xmlns:c15="http://schemas.microsoft.com/office/drawing/2012/chart">
                  <c:ext xmlns:c16="http://schemas.microsoft.com/office/drawing/2014/chart" uri="{C3380CC4-5D6E-409C-BE32-E72D297353CC}">
                    <c16:uniqueId val="{00000036-3257-4EA9-A3EE-834C0BB9E37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Matrices!$B$36</c15:sqref>
                        </c15:formulaRef>
                      </c:ext>
                    </c:extLst>
                    <c:strCache>
                      <c:ptCount val="1"/>
                      <c:pt idx="0">
                        <c:v>N+15</c:v>
                      </c:pt>
                    </c:strCache>
                  </c:strRef>
                </c:tx>
                <c:invertIfNegative val="0"/>
                <c:val>
                  <c:numRef>
                    <c:extLst xmlns:c15="http://schemas.microsoft.com/office/drawing/2012/chart">
                      <c:ext xmlns:c15="http://schemas.microsoft.com/office/drawing/2012/chart" uri="{02D57815-91ED-43cb-92C2-25804820EDAC}">
                        <c15:formulaRef>
                          <c15:sqref>(Matrices!$G$36,Matrices!$J$36)</c15:sqref>
                        </c15:formulaRef>
                      </c:ext>
                    </c:extLst>
                    <c:numCache>
                      <c:formatCode>#\ ##0\ "€"</c:formatCode>
                      <c:ptCount val="2"/>
                      <c:pt idx="0">
                        <c:v>5388.899012116648</c:v>
                      </c:pt>
                      <c:pt idx="1">
                        <c:v>3555.2843578758211</c:v>
                      </c:pt>
                    </c:numCache>
                  </c:numRef>
                </c:val>
                <c:extLst xmlns:c15="http://schemas.microsoft.com/office/drawing/2012/chart">
                  <c:ext xmlns:c16="http://schemas.microsoft.com/office/drawing/2014/chart" uri="{C3380CC4-5D6E-409C-BE32-E72D297353CC}">
                    <c16:uniqueId val="{00000037-3257-4EA9-A3EE-834C0BB9E37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Matrices!$B$37</c15:sqref>
                        </c15:formulaRef>
                      </c:ext>
                    </c:extLst>
                    <c:strCache>
                      <c:ptCount val="1"/>
                      <c:pt idx="0">
                        <c:v>N+16</c:v>
                      </c:pt>
                    </c:strCache>
                  </c:strRef>
                </c:tx>
                <c:invertIfNegative val="0"/>
                <c:val>
                  <c:numRef>
                    <c:extLst xmlns:c15="http://schemas.microsoft.com/office/drawing/2012/chart">
                      <c:ext xmlns:c15="http://schemas.microsoft.com/office/drawing/2012/chart" uri="{02D57815-91ED-43cb-92C2-25804820EDAC}">
                        <c15:formulaRef>
                          <c15:sqref>(Matrices!$G$37,Matrices!$J$37)</c15:sqref>
                        </c15:formulaRef>
                      </c:ext>
                    </c:extLst>
                    <c:numCache>
                      <c:formatCode>#\ ##0\ "€"</c:formatCode>
                      <c:ptCount val="2"/>
                      <c:pt idx="0">
                        <c:v>5650.8439627224807</c:v>
                      </c:pt>
                      <c:pt idx="1">
                        <c:v>3725.5485757696124</c:v>
                      </c:pt>
                    </c:numCache>
                  </c:numRef>
                </c:val>
                <c:extLst xmlns:c15="http://schemas.microsoft.com/office/drawing/2012/chart">
                  <c:ext xmlns:c16="http://schemas.microsoft.com/office/drawing/2014/chart" uri="{C3380CC4-5D6E-409C-BE32-E72D297353CC}">
                    <c16:uniqueId val="{00000038-3257-4EA9-A3EE-834C0BB9E37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Matrices!$B$38</c15:sqref>
                        </c15:formulaRef>
                      </c:ext>
                    </c:extLst>
                    <c:strCache>
                      <c:ptCount val="1"/>
                      <c:pt idx="0">
                        <c:v>N+17</c:v>
                      </c:pt>
                    </c:strCache>
                  </c:strRef>
                </c:tx>
                <c:invertIfNegative val="0"/>
                <c:val>
                  <c:numRef>
                    <c:extLst xmlns:c15="http://schemas.microsoft.com/office/drawing/2012/chart">
                      <c:ext xmlns:c15="http://schemas.microsoft.com/office/drawing/2012/chart" uri="{02D57815-91ED-43cb-92C2-25804820EDAC}">
                        <c15:formulaRef>
                          <c15:sqref>(Matrices!$G$38,Matrices!$J$38)</c15:sqref>
                        </c15:formulaRef>
                      </c:ext>
                    </c:extLst>
                    <c:numCache>
                      <c:formatCode>#\ ##0\ "€"</c:formatCode>
                      <c:ptCount val="2"/>
                      <c:pt idx="0">
                        <c:v>5925.8861608586039</c:v>
                      </c:pt>
                      <c:pt idx="1">
                        <c:v>3904.3260045580928</c:v>
                      </c:pt>
                    </c:numCache>
                  </c:numRef>
                </c:val>
                <c:extLst xmlns:c15="http://schemas.microsoft.com/office/drawing/2012/chart">
                  <c:ext xmlns:c16="http://schemas.microsoft.com/office/drawing/2014/chart" uri="{C3380CC4-5D6E-409C-BE32-E72D297353CC}">
                    <c16:uniqueId val="{00000039-3257-4EA9-A3EE-834C0BB9E37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Matrices!$B$39</c15:sqref>
                        </c15:formulaRef>
                      </c:ext>
                    </c:extLst>
                    <c:strCache>
                      <c:ptCount val="1"/>
                      <c:pt idx="0">
                        <c:v>N+18</c:v>
                      </c:pt>
                    </c:strCache>
                  </c:strRef>
                </c:tx>
                <c:invertIfNegative val="0"/>
                <c:val>
                  <c:numRef>
                    <c:extLst xmlns:c15="http://schemas.microsoft.com/office/drawing/2012/chart">
                      <c:ext xmlns:c15="http://schemas.microsoft.com/office/drawing/2012/chart" uri="{02D57815-91ED-43cb-92C2-25804820EDAC}">
                        <c15:formulaRef>
                          <c15:sqref>(Matrices!$G$39,Matrices!$J$39)</c15:sqref>
                        </c15:formulaRef>
                      </c:ext>
                    </c:extLst>
                    <c:numCache>
                      <c:formatCode>#\ ##0\ "€"</c:formatCode>
                      <c:ptCount val="2"/>
                      <c:pt idx="0">
                        <c:v>6214.6804689015344</c:v>
                      </c:pt>
                      <c:pt idx="1">
                        <c:v>4092.0423047859972</c:v>
                      </c:pt>
                    </c:numCache>
                  </c:numRef>
                </c:val>
                <c:extLst xmlns:c15="http://schemas.microsoft.com/office/drawing/2012/chart">
                  <c:ext xmlns:c16="http://schemas.microsoft.com/office/drawing/2014/chart" uri="{C3380CC4-5D6E-409C-BE32-E72D297353CC}">
                    <c16:uniqueId val="{0000003A-3257-4EA9-A3EE-834C0BB9E37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Matrices!$B$40</c15:sqref>
                        </c15:formulaRef>
                      </c:ext>
                    </c:extLst>
                    <c:strCache>
                      <c:ptCount val="1"/>
                      <c:pt idx="0">
                        <c:v>N+19</c:v>
                      </c:pt>
                    </c:strCache>
                  </c:strRef>
                </c:tx>
                <c:invertIfNegative val="0"/>
                <c:val>
                  <c:numRef>
                    <c:extLst xmlns:c15="http://schemas.microsoft.com/office/drawing/2012/chart">
                      <c:ext xmlns:c15="http://schemas.microsoft.com/office/drawing/2012/chart" uri="{02D57815-91ED-43cb-92C2-25804820EDAC}">
                        <c15:formulaRef>
                          <c15:sqref>(Matrices!$G$40,Matrices!$J$40)</c15:sqref>
                        </c15:formulaRef>
                      </c:ext>
                    </c:extLst>
                    <c:numCache>
                      <c:formatCode>#\ ##0\ "€"</c:formatCode>
                      <c:ptCount val="2"/>
                      <c:pt idx="0">
                        <c:v>6517.914492346611</c:v>
                      </c:pt>
                      <c:pt idx="1">
                        <c:v>4289.1444200252972</c:v>
                      </c:pt>
                    </c:numCache>
                  </c:numRef>
                </c:val>
                <c:extLst xmlns:c15="http://schemas.microsoft.com/office/drawing/2012/chart">
                  <c:ext xmlns:c16="http://schemas.microsoft.com/office/drawing/2014/chart" uri="{C3380CC4-5D6E-409C-BE32-E72D297353CC}">
                    <c16:uniqueId val="{0000003B-3257-4EA9-A3EE-834C0BB9E37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Matrices!$B$41</c15:sqref>
                        </c15:formulaRef>
                      </c:ext>
                    </c:extLst>
                    <c:strCache>
                      <c:ptCount val="1"/>
                      <c:pt idx="0">
                        <c:v>N+20</c:v>
                      </c:pt>
                    </c:strCache>
                  </c:strRef>
                </c:tx>
                <c:invertIfNegative val="0"/>
                <c:val>
                  <c:numRef>
                    <c:extLst xmlns:c15="http://schemas.microsoft.com/office/drawing/2012/chart">
                      <c:ext xmlns:c15="http://schemas.microsoft.com/office/drawing/2012/chart" uri="{02D57815-91ED-43cb-92C2-25804820EDAC}">
                        <c15:formulaRef>
                          <c15:sqref>(Matrices!$G$41,Matrices!$J$41)</c15:sqref>
                        </c15:formulaRef>
                      </c:ext>
                    </c:extLst>
                    <c:numCache>
                      <c:formatCode>#\ ##0\ "€"</c:formatCode>
                      <c:ptCount val="2"/>
                      <c:pt idx="0">
                        <c:v>6836.3102169639424</c:v>
                      </c:pt>
                      <c:pt idx="1">
                        <c:v>4496.101641026562</c:v>
                      </c:pt>
                    </c:numCache>
                  </c:numRef>
                </c:val>
                <c:extLst xmlns:c15="http://schemas.microsoft.com/office/drawing/2012/chart">
                  <c:ext xmlns:c16="http://schemas.microsoft.com/office/drawing/2014/chart" uri="{C3380CC4-5D6E-409C-BE32-E72D297353CC}">
                    <c16:uniqueId val="{0000003C-3257-4EA9-A3EE-834C0BB9E37E}"/>
                  </c:ext>
                </c:extLst>
              </c15:ser>
            </c15:filteredBarSeries>
          </c:ext>
        </c:extLst>
      </c:bar3DChart>
      <c:catAx>
        <c:axId val="118365184"/>
        <c:scaling>
          <c:orientation val="minMax"/>
        </c:scaling>
        <c:delete val="0"/>
        <c:axPos val="b"/>
        <c:minorGridlines>
          <c:spPr>
            <a:ln>
              <a:solidFill>
                <a:schemeClr val="accent3">
                  <a:lumMod val="50000"/>
                </a:schemeClr>
              </a:solidFill>
              <a:prstDash val="sysDot"/>
            </a:ln>
          </c:spPr>
        </c:minorGridlines>
        <c:numFmt formatCode="General" sourceLinked="1"/>
        <c:majorTickMark val="none"/>
        <c:minorTickMark val="cross"/>
        <c:tickLblPos val="nextTo"/>
        <c:txPr>
          <a:bodyPr/>
          <a:lstStyle/>
          <a:p>
            <a:pPr>
              <a:defRPr sz="1050" b="1">
                <a:solidFill>
                  <a:schemeClr val="accent3">
                    <a:lumMod val="50000"/>
                  </a:schemeClr>
                </a:solidFill>
              </a:defRPr>
            </a:pPr>
            <a:endParaRPr lang="fr-FR"/>
          </a:p>
        </c:txPr>
        <c:crossAx val="119916800"/>
        <c:crosses val="autoZero"/>
        <c:auto val="0"/>
        <c:lblAlgn val="ctr"/>
        <c:lblOffset val="100"/>
        <c:noMultiLvlLbl val="0"/>
      </c:catAx>
      <c:valAx>
        <c:axId val="119916800"/>
        <c:scaling>
          <c:orientation val="minMax"/>
        </c:scaling>
        <c:delete val="0"/>
        <c:axPos val="l"/>
        <c:majorGridlines>
          <c:spPr>
            <a:ln>
              <a:noFill/>
            </a:ln>
          </c:spPr>
        </c:majorGridlines>
        <c:numFmt formatCode="#,##0\ &quot;€&quot;" sourceLinked="0"/>
        <c:majorTickMark val="out"/>
        <c:minorTickMark val="none"/>
        <c:tickLblPos val="nextTo"/>
        <c:txPr>
          <a:bodyPr/>
          <a:lstStyle/>
          <a:p>
            <a:pPr>
              <a:defRPr sz="1050" b="1">
                <a:solidFill>
                  <a:schemeClr val="accent3">
                    <a:lumMod val="50000"/>
                  </a:schemeClr>
                </a:solidFill>
              </a:defRPr>
            </a:pPr>
            <a:endParaRPr lang="fr-FR"/>
          </a:p>
        </c:txPr>
        <c:crossAx val="118365184"/>
        <c:crosses val="autoZero"/>
        <c:crossBetween val="between"/>
      </c:valAx>
    </c:plotArea>
    <c:legend>
      <c:legendPos val="r"/>
      <c:layout>
        <c:manualLayout>
          <c:xMode val="edge"/>
          <c:yMode val="edge"/>
          <c:x val="6.931256578889064E-2"/>
          <c:y val="0.88282138794084186"/>
          <c:w val="7.9459898107866272E-2"/>
          <c:h val="7.7936580433951075E-2"/>
        </c:manualLayout>
      </c:layout>
      <c:overlay val="0"/>
      <c:txPr>
        <a:bodyPr/>
        <a:lstStyle/>
        <a:p>
          <a:pPr>
            <a:defRPr sz="1200"/>
          </a:pPr>
          <a:endParaRPr lang="fr-FR"/>
        </a:p>
      </c:txPr>
    </c:legend>
    <c:plotVisOnly val="1"/>
    <c:dispBlanksAs val="gap"/>
    <c:showDLblsOverMax val="0"/>
  </c:chart>
  <c:spPr>
    <a:ln w="25400">
      <a:solidFill>
        <a:schemeClr val="accent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05882132691347E-2"/>
          <c:y val="9.4415808945383539E-2"/>
          <c:w val="0.90815088474057659"/>
          <c:h val="0.68933253135024775"/>
        </c:manualLayout>
      </c:layout>
      <c:lineChart>
        <c:grouping val="standard"/>
        <c:varyColors val="0"/>
        <c:ser>
          <c:idx val="0"/>
          <c:order val="0"/>
          <c:tx>
            <c:v>Cout cumulé sans travaux</c:v>
          </c:tx>
          <c:spPr>
            <a:ln>
              <a:solidFill>
                <a:schemeClr val="accent2"/>
              </a:solidFill>
            </a:ln>
          </c:spPr>
          <c:marker>
            <c:symbol val="none"/>
          </c:marker>
          <c:cat>
            <c:strRef>
              <c:f>Matrices!$B$21:$B$41</c:f>
              <c:strCache>
                <c:ptCount val="21"/>
                <c:pt idx="0">
                  <c:v>N</c:v>
                </c:pt>
                <c:pt idx="1">
                  <c:v>N+1</c:v>
                </c:pt>
                <c:pt idx="2">
                  <c:v>N+2</c:v>
                </c:pt>
                <c:pt idx="3">
                  <c:v>N+3</c:v>
                </c:pt>
                <c:pt idx="4">
                  <c:v>N+4</c:v>
                </c:pt>
                <c:pt idx="5">
                  <c:v>N+5</c:v>
                </c:pt>
                <c:pt idx="6">
                  <c:v>N+6</c:v>
                </c:pt>
                <c:pt idx="7">
                  <c:v>N+7</c:v>
                </c:pt>
                <c:pt idx="8">
                  <c:v>N+8</c:v>
                </c:pt>
                <c:pt idx="9">
                  <c:v>N+9</c:v>
                </c:pt>
                <c:pt idx="10">
                  <c:v>N+10</c:v>
                </c:pt>
                <c:pt idx="11">
                  <c:v>N+11</c:v>
                </c:pt>
                <c:pt idx="12">
                  <c:v>N+12</c:v>
                </c:pt>
                <c:pt idx="13">
                  <c:v>N+13</c:v>
                </c:pt>
                <c:pt idx="14">
                  <c:v>N+14</c:v>
                </c:pt>
                <c:pt idx="15">
                  <c:v>N+15</c:v>
                </c:pt>
                <c:pt idx="16">
                  <c:v>N+16</c:v>
                </c:pt>
                <c:pt idx="17">
                  <c:v>N+17</c:v>
                </c:pt>
                <c:pt idx="18">
                  <c:v>N+18</c:v>
                </c:pt>
                <c:pt idx="19">
                  <c:v>N+19</c:v>
                </c:pt>
                <c:pt idx="20">
                  <c:v>N+20</c:v>
                </c:pt>
              </c:strCache>
            </c:strRef>
          </c:cat>
          <c:val>
            <c:numRef>
              <c:f>Matrices!$I$21:$I$41</c:f>
              <c:numCache>
                <c:formatCode>#\ ##0\ "€"</c:formatCode>
                <c:ptCount val="21"/>
                <c:pt idx="0">
                  <c:v>2670</c:v>
                </c:pt>
                <c:pt idx="1">
                  <c:v>5466</c:v>
                </c:pt>
                <c:pt idx="2">
                  <c:v>8394.2999999999993</c:v>
                </c:pt>
                <c:pt idx="3">
                  <c:v>11461.514999999999</c:v>
                </c:pt>
                <c:pt idx="4">
                  <c:v>14674.590749999999</c:v>
                </c:pt>
                <c:pt idx="5">
                  <c:v>18040.820287499999</c:v>
                </c:pt>
                <c:pt idx="6">
                  <c:v>21567.861301875</c:v>
                </c:pt>
                <c:pt idx="7">
                  <c:v>25263.754366968751</c:v>
                </c:pt>
                <c:pt idx="8">
                  <c:v>29136.942085317191</c:v>
                </c:pt>
                <c:pt idx="9">
                  <c:v>33196.289189583054</c:v>
                </c:pt>
                <c:pt idx="10">
                  <c:v>37451.103649062206</c:v>
                </c:pt>
                <c:pt idx="11">
                  <c:v>41911.15883151532</c:v>
                </c:pt>
                <c:pt idx="12">
                  <c:v>46586.716773091088</c:v>
                </c:pt>
                <c:pt idx="13">
                  <c:v>51488.552611745647</c:v>
                </c:pt>
                <c:pt idx="14">
                  <c:v>56627.980242332931</c:v>
                </c:pt>
                <c:pt idx="15">
                  <c:v>62016.879254449581</c:v>
                </c:pt>
                <c:pt idx="16">
                  <c:v>67667.723217172068</c:v>
                </c:pt>
                <c:pt idx="17">
                  <c:v>73593.609378030669</c:v>
                </c:pt>
                <c:pt idx="18">
                  <c:v>79808.28984693221</c:v>
                </c:pt>
                <c:pt idx="19">
                  <c:v>86326.204339278818</c:v>
                </c:pt>
                <c:pt idx="20">
                  <c:v>93162.514556242764</c:v>
                </c:pt>
              </c:numCache>
            </c:numRef>
          </c:val>
          <c:smooth val="0"/>
          <c:extLst>
            <c:ext xmlns:c16="http://schemas.microsoft.com/office/drawing/2014/chart" uri="{C3380CC4-5D6E-409C-BE32-E72D297353CC}">
              <c16:uniqueId val="{00000000-A01A-411B-8BE0-C33FA237344D}"/>
            </c:ext>
          </c:extLst>
        </c:ser>
        <c:ser>
          <c:idx val="2"/>
          <c:order val="1"/>
          <c:tx>
            <c:v>Cout cumulé avec travaux</c:v>
          </c:tx>
          <c:spPr>
            <a:ln>
              <a:solidFill>
                <a:srgbClr val="00B050"/>
              </a:solidFill>
            </a:ln>
          </c:spPr>
          <c:marker>
            <c:symbol val="none"/>
          </c:marker>
          <c:cat>
            <c:strRef>
              <c:f>Matrices!$B$21:$B$41</c:f>
              <c:strCache>
                <c:ptCount val="21"/>
                <c:pt idx="0">
                  <c:v>N</c:v>
                </c:pt>
                <c:pt idx="1">
                  <c:v>N+1</c:v>
                </c:pt>
                <c:pt idx="2">
                  <c:v>N+2</c:v>
                </c:pt>
                <c:pt idx="3">
                  <c:v>N+3</c:v>
                </c:pt>
                <c:pt idx="4">
                  <c:v>N+4</c:v>
                </c:pt>
                <c:pt idx="5">
                  <c:v>N+5</c:v>
                </c:pt>
                <c:pt idx="6">
                  <c:v>N+6</c:v>
                </c:pt>
                <c:pt idx="7">
                  <c:v>N+7</c:v>
                </c:pt>
                <c:pt idx="8">
                  <c:v>N+8</c:v>
                </c:pt>
                <c:pt idx="9">
                  <c:v>N+9</c:v>
                </c:pt>
                <c:pt idx="10">
                  <c:v>N+10</c:v>
                </c:pt>
                <c:pt idx="11">
                  <c:v>N+11</c:v>
                </c:pt>
                <c:pt idx="12">
                  <c:v>N+12</c:v>
                </c:pt>
                <c:pt idx="13">
                  <c:v>N+13</c:v>
                </c:pt>
                <c:pt idx="14">
                  <c:v>N+14</c:v>
                </c:pt>
                <c:pt idx="15">
                  <c:v>N+15</c:v>
                </c:pt>
                <c:pt idx="16">
                  <c:v>N+16</c:v>
                </c:pt>
                <c:pt idx="17">
                  <c:v>N+17</c:v>
                </c:pt>
                <c:pt idx="18">
                  <c:v>N+18</c:v>
                </c:pt>
                <c:pt idx="19">
                  <c:v>N+19</c:v>
                </c:pt>
                <c:pt idx="20">
                  <c:v>N+20</c:v>
                </c:pt>
              </c:strCache>
            </c:strRef>
          </c:cat>
          <c:val>
            <c:numRef>
              <c:f>Matrices!$L$21:$L$41</c:f>
              <c:numCache>
                <c:formatCode>#\ ##0\ "€"</c:formatCode>
                <c:ptCount val="21"/>
                <c:pt idx="0">
                  <c:v>4394.1566666666668</c:v>
                </c:pt>
                <c:pt idx="1">
                  <c:v>7988.213333333334</c:v>
                </c:pt>
                <c:pt idx="2">
                  <c:v>11668.264999999999</c:v>
                </c:pt>
                <c:pt idx="3">
                  <c:v>15438.611416666665</c:v>
                </c:pt>
                <c:pt idx="4">
                  <c:v>19303.767320833333</c:v>
                </c:pt>
                <c:pt idx="5">
                  <c:v>23268.473186874999</c:v>
                </c:pt>
                <c:pt idx="6">
                  <c:v>27337.706512885416</c:v>
                </c:pt>
                <c:pt idx="7">
                  <c:v>31516.69367186302</c:v>
                </c:pt>
                <c:pt idx="8">
                  <c:v>35810.922355456176</c:v>
                </c:pt>
                <c:pt idx="9">
                  <c:v>40226.154639895656</c:v>
                </c:pt>
                <c:pt idx="10">
                  <c:v>44768.440705223773</c:v>
                </c:pt>
                <c:pt idx="11">
                  <c:v>49444.133240484967</c:v>
                </c:pt>
                <c:pt idx="12">
                  <c:v>54259.902569175887</c:v>
                </c:pt>
                <c:pt idx="13">
                  <c:v>59222.75253096802</c:v>
                </c:pt>
                <c:pt idx="14">
                  <c:v>64340.037157516424</c:v>
                </c:pt>
                <c:pt idx="15">
                  <c:v>67895.32151539225</c:v>
                </c:pt>
                <c:pt idx="16">
                  <c:v>71620.870091161865</c:v>
                </c:pt>
                <c:pt idx="17">
                  <c:v>75525.196095719963</c:v>
                </c:pt>
                <c:pt idx="18">
                  <c:v>79617.238400505958</c:v>
                </c:pt>
                <c:pt idx="19">
                  <c:v>83906.38282053126</c:v>
                </c:pt>
                <c:pt idx="20">
                  <c:v>88402.484461557819</c:v>
                </c:pt>
              </c:numCache>
            </c:numRef>
          </c:val>
          <c:smooth val="0"/>
          <c:extLst>
            <c:ext xmlns:c16="http://schemas.microsoft.com/office/drawing/2014/chart" uri="{C3380CC4-5D6E-409C-BE32-E72D297353CC}">
              <c16:uniqueId val="{00000001-A01A-411B-8BE0-C33FA237344D}"/>
            </c:ext>
          </c:extLst>
        </c:ser>
        <c:dLbls>
          <c:showLegendKey val="0"/>
          <c:showVal val="0"/>
          <c:showCatName val="0"/>
          <c:showSerName val="0"/>
          <c:showPercent val="0"/>
          <c:showBubbleSize val="0"/>
        </c:dLbls>
        <c:hiLowLines/>
        <c:smooth val="0"/>
        <c:axId val="118365184"/>
        <c:axId val="119916800"/>
      </c:lineChart>
      <c:catAx>
        <c:axId val="118365184"/>
        <c:scaling>
          <c:orientation val="minMax"/>
        </c:scaling>
        <c:delete val="0"/>
        <c:axPos val="b"/>
        <c:minorGridlines>
          <c:spPr>
            <a:ln>
              <a:solidFill>
                <a:schemeClr val="accent3">
                  <a:lumMod val="50000"/>
                </a:schemeClr>
              </a:solidFill>
              <a:prstDash val="sysDot"/>
            </a:ln>
          </c:spPr>
        </c:minorGridlines>
        <c:numFmt formatCode="General" sourceLinked="1"/>
        <c:majorTickMark val="none"/>
        <c:minorTickMark val="cross"/>
        <c:tickLblPos val="nextTo"/>
        <c:txPr>
          <a:bodyPr/>
          <a:lstStyle/>
          <a:p>
            <a:pPr>
              <a:defRPr sz="1050" b="1">
                <a:solidFill>
                  <a:schemeClr val="accent3">
                    <a:lumMod val="50000"/>
                  </a:schemeClr>
                </a:solidFill>
              </a:defRPr>
            </a:pPr>
            <a:endParaRPr lang="fr-FR"/>
          </a:p>
        </c:txPr>
        <c:crossAx val="119916800"/>
        <c:crosses val="autoZero"/>
        <c:auto val="1"/>
        <c:lblAlgn val="ctr"/>
        <c:lblOffset val="100"/>
        <c:noMultiLvlLbl val="0"/>
      </c:catAx>
      <c:valAx>
        <c:axId val="119916800"/>
        <c:scaling>
          <c:orientation val="minMax"/>
        </c:scaling>
        <c:delete val="0"/>
        <c:axPos val="l"/>
        <c:majorGridlines>
          <c:spPr>
            <a:ln>
              <a:noFill/>
            </a:ln>
          </c:spPr>
        </c:majorGridlines>
        <c:numFmt formatCode="#,##0\ &quot;€&quot;" sourceLinked="0"/>
        <c:majorTickMark val="out"/>
        <c:minorTickMark val="none"/>
        <c:tickLblPos val="nextTo"/>
        <c:txPr>
          <a:bodyPr/>
          <a:lstStyle/>
          <a:p>
            <a:pPr>
              <a:defRPr sz="1050" b="1">
                <a:solidFill>
                  <a:schemeClr val="accent3">
                    <a:lumMod val="50000"/>
                  </a:schemeClr>
                </a:solidFill>
              </a:defRPr>
            </a:pPr>
            <a:endParaRPr lang="fr-FR"/>
          </a:p>
        </c:txPr>
        <c:crossAx val="118365184"/>
        <c:crosses val="autoZero"/>
        <c:crossBetween val="midCat"/>
      </c:valAx>
    </c:plotArea>
    <c:legend>
      <c:legendPos val="r"/>
      <c:layout>
        <c:manualLayout>
          <c:xMode val="edge"/>
          <c:yMode val="edge"/>
          <c:x val="6.931256578889064E-2"/>
          <c:y val="0.88282138794084186"/>
          <c:w val="0.13365169059749882"/>
          <c:h val="0.11717874874998904"/>
        </c:manualLayout>
      </c:layout>
      <c:overlay val="0"/>
      <c:txPr>
        <a:bodyPr/>
        <a:lstStyle/>
        <a:p>
          <a:pPr>
            <a:defRPr sz="1200"/>
          </a:pPr>
          <a:endParaRPr lang="fr-FR"/>
        </a:p>
      </c:txPr>
    </c:legend>
    <c:plotVisOnly val="1"/>
    <c:dispBlanksAs val="gap"/>
    <c:showDLblsOverMax val="0"/>
  </c:chart>
  <c:spPr>
    <a:ln w="25400">
      <a:solidFill>
        <a:schemeClr val="accent1"/>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chart" Target="../charts/chart1.xml"/><Relationship Id="rId1" Type="http://schemas.openxmlformats.org/officeDocument/2006/relationships/image" Target="../media/image3.jpe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235547</xdr:colOff>
      <xdr:row>1</xdr:row>
      <xdr:rowOff>125730</xdr:rowOff>
    </xdr:from>
    <xdr:to>
      <xdr:col>19</xdr:col>
      <xdr:colOff>325356</xdr:colOff>
      <xdr:row>9</xdr:row>
      <xdr:rowOff>393317</xdr:rowOff>
    </xdr:to>
    <xdr:pic>
      <xdr:nvPicPr>
        <xdr:cNvPr id="3" name="Image 2">
          <a:extLst>
            <a:ext uri="{FF2B5EF4-FFF2-40B4-BE49-F238E27FC236}">
              <a16:creationId xmlns:a16="http://schemas.microsoft.com/office/drawing/2014/main" id="{AE222675-50CD-90E7-D0ED-251ED1E478BD}"/>
            </a:ext>
          </a:extLst>
        </xdr:cNvPr>
        <xdr:cNvPicPr>
          <a:picLocks noChangeAspect="1"/>
        </xdr:cNvPicPr>
      </xdr:nvPicPr>
      <xdr:blipFill>
        <a:blip xmlns:r="http://schemas.openxmlformats.org/officeDocument/2006/relationships" r:embed="rId1"/>
        <a:stretch>
          <a:fillRect/>
        </a:stretch>
      </xdr:blipFill>
      <xdr:spPr>
        <a:xfrm>
          <a:off x="3451635" y="305024"/>
          <a:ext cx="13615309" cy="5198175"/>
        </a:xfrm>
        <a:prstGeom prst="rect">
          <a:avLst/>
        </a:prstGeom>
      </xdr:spPr>
    </xdr:pic>
    <xdr:clientData/>
  </xdr:twoCellAnchor>
  <xdr:twoCellAnchor>
    <xdr:from>
      <xdr:col>2</xdr:col>
      <xdr:colOff>57150</xdr:colOff>
      <xdr:row>0</xdr:row>
      <xdr:rowOff>180976</xdr:rowOff>
    </xdr:from>
    <xdr:to>
      <xdr:col>2</xdr:col>
      <xdr:colOff>371476</xdr:colOff>
      <xdr:row>2</xdr:row>
      <xdr:rowOff>104776</xdr:rowOff>
    </xdr:to>
    <xdr:sp macro="" textlink="">
      <xdr:nvSpPr>
        <xdr:cNvPr id="5" name="Ellipse 4">
          <a:extLst>
            <a:ext uri="{FF2B5EF4-FFF2-40B4-BE49-F238E27FC236}">
              <a16:creationId xmlns:a16="http://schemas.microsoft.com/office/drawing/2014/main" id="{F466615A-1B00-D53F-B818-8CF9DE279480}"/>
            </a:ext>
          </a:extLst>
        </xdr:cNvPr>
        <xdr:cNvSpPr/>
      </xdr:nvSpPr>
      <xdr:spPr>
        <a:xfrm>
          <a:off x="2733675" y="180976"/>
          <a:ext cx="314326" cy="3048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11</a:t>
          </a:r>
        </a:p>
      </xdr:txBody>
    </xdr:sp>
    <xdr:clientData/>
  </xdr:twoCellAnchor>
  <xdr:twoCellAnchor>
    <xdr:from>
      <xdr:col>3</xdr:col>
      <xdr:colOff>457200</xdr:colOff>
      <xdr:row>2</xdr:row>
      <xdr:rowOff>152400</xdr:rowOff>
    </xdr:from>
    <xdr:to>
      <xdr:col>4</xdr:col>
      <xdr:colOff>9526</xdr:colOff>
      <xdr:row>3</xdr:row>
      <xdr:rowOff>76200</xdr:rowOff>
    </xdr:to>
    <xdr:sp macro="" textlink="">
      <xdr:nvSpPr>
        <xdr:cNvPr id="6" name="Ellipse 5">
          <a:extLst>
            <a:ext uri="{FF2B5EF4-FFF2-40B4-BE49-F238E27FC236}">
              <a16:creationId xmlns:a16="http://schemas.microsoft.com/office/drawing/2014/main" id="{4E1041CE-46CE-4B2A-A644-66CBC349B0EB}"/>
            </a:ext>
          </a:extLst>
        </xdr:cNvPr>
        <xdr:cNvSpPr/>
      </xdr:nvSpPr>
      <xdr:spPr>
        <a:xfrm>
          <a:off x="3895725" y="533400"/>
          <a:ext cx="314326" cy="3048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2</a:t>
          </a:r>
        </a:p>
      </xdr:txBody>
    </xdr:sp>
    <xdr:clientData/>
  </xdr:twoCellAnchor>
  <xdr:twoCellAnchor>
    <xdr:from>
      <xdr:col>3</xdr:col>
      <xdr:colOff>447675</xdr:colOff>
      <xdr:row>4</xdr:row>
      <xdr:rowOff>0</xdr:rowOff>
    </xdr:from>
    <xdr:to>
      <xdr:col>4</xdr:col>
      <xdr:colOff>1</xdr:colOff>
      <xdr:row>4</xdr:row>
      <xdr:rowOff>285750</xdr:rowOff>
    </xdr:to>
    <xdr:sp macro="" textlink="">
      <xdr:nvSpPr>
        <xdr:cNvPr id="7" name="Ellipse 6">
          <a:extLst>
            <a:ext uri="{FF2B5EF4-FFF2-40B4-BE49-F238E27FC236}">
              <a16:creationId xmlns:a16="http://schemas.microsoft.com/office/drawing/2014/main" id="{E246EEF8-DD26-41C1-8432-8F16EEB17C5D}"/>
            </a:ext>
          </a:extLst>
        </xdr:cNvPr>
        <xdr:cNvSpPr/>
      </xdr:nvSpPr>
      <xdr:spPr>
        <a:xfrm>
          <a:off x="4324350" y="1333500"/>
          <a:ext cx="314326" cy="28575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3</a:t>
          </a:r>
        </a:p>
      </xdr:txBody>
    </xdr:sp>
    <xdr:clientData/>
  </xdr:twoCellAnchor>
  <xdr:twoCellAnchor>
    <xdr:from>
      <xdr:col>12</xdr:col>
      <xdr:colOff>247650</xdr:colOff>
      <xdr:row>3</xdr:row>
      <xdr:rowOff>9525</xdr:rowOff>
    </xdr:from>
    <xdr:to>
      <xdr:col>12</xdr:col>
      <xdr:colOff>561976</xdr:colOff>
      <xdr:row>3</xdr:row>
      <xdr:rowOff>314325</xdr:rowOff>
    </xdr:to>
    <xdr:sp macro="" textlink="">
      <xdr:nvSpPr>
        <xdr:cNvPr id="8" name="Ellipse 7">
          <a:extLst>
            <a:ext uri="{FF2B5EF4-FFF2-40B4-BE49-F238E27FC236}">
              <a16:creationId xmlns:a16="http://schemas.microsoft.com/office/drawing/2014/main" id="{A4B2099F-2760-4F10-A89A-FB7980F45191}"/>
            </a:ext>
          </a:extLst>
        </xdr:cNvPr>
        <xdr:cNvSpPr/>
      </xdr:nvSpPr>
      <xdr:spPr>
        <a:xfrm>
          <a:off x="10544175" y="771525"/>
          <a:ext cx="314326" cy="3048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4</a:t>
          </a:r>
        </a:p>
      </xdr:txBody>
    </xdr:sp>
    <xdr:clientData/>
  </xdr:twoCellAnchor>
  <xdr:twoCellAnchor>
    <xdr:from>
      <xdr:col>2</xdr:col>
      <xdr:colOff>214313</xdr:colOff>
      <xdr:row>2</xdr:row>
      <xdr:rowOff>104776</xdr:rowOff>
    </xdr:from>
    <xdr:to>
      <xdr:col>2</xdr:col>
      <xdr:colOff>361950</xdr:colOff>
      <xdr:row>2</xdr:row>
      <xdr:rowOff>314325</xdr:rowOff>
    </xdr:to>
    <xdr:cxnSp macro="">
      <xdr:nvCxnSpPr>
        <xdr:cNvPr id="10" name="Connecteur droit avec flèche 9">
          <a:extLst>
            <a:ext uri="{FF2B5EF4-FFF2-40B4-BE49-F238E27FC236}">
              <a16:creationId xmlns:a16="http://schemas.microsoft.com/office/drawing/2014/main" id="{5B9EB166-F255-EDF6-7CA4-56E77EF5E596}"/>
            </a:ext>
          </a:extLst>
        </xdr:cNvPr>
        <xdr:cNvCxnSpPr>
          <a:stCxn id="5" idx="4"/>
        </xdr:cNvCxnSpPr>
      </xdr:nvCxnSpPr>
      <xdr:spPr>
        <a:xfrm>
          <a:off x="2890838" y="485776"/>
          <a:ext cx="147637" cy="209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325444</xdr:colOff>
      <xdr:row>2</xdr:row>
      <xdr:rowOff>60139</xdr:rowOff>
    </xdr:from>
    <xdr:to>
      <xdr:col>2</xdr:col>
      <xdr:colOff>561975</xdr:colOff>
      <xdr:row>2</xdr:row>
      <xdr:rowOff>152400</xdr:rowOff>
    </xdr:to>
    <xdr:cxnSp macro="">
      <xdr:nvCxnSpPr>
        <xdr:cNvPr id="12" name="Connecteur droit avec flèche 11">
          <a:extLst>
            <a:ext uri="{FF2B5EF4-FFF2-40B4-BE49-F238E27FC236}">
              <a16:creationId xmlns:a16="http://schemas.microsoft.com/office/drawing/2014/main" id="{816252FC-68AF-0F15-281A-ABF460B8AE0F}"/>
            </a:ext>
          </a:extLst>
        </xdr:cNvPr>
        <xdr:cNvCxnSpPr>
          <a:stCxn id="5" idx="5"/>
        </xdr:cNvCxnSpPr>
      </xdr:nvCxnSpPr>
      <xdr:spPr>
        <a:xfrm>
          <a:off x="3001969" y="441139"/>
          <a:ext cx="236531" cy="922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515944</xdr:colOff>
      <xdr:row>2</xdr:row>
      <xdr:rowOff>28575</xdr:rowOff>
    </xdr:from>
    <xdr:to>
      <xdr:col>13</xdr:col>
      <xdr:colOff>419100</xdr:colOff>
      <xdr:row>3</xdr:row>
      <xdr:rowOff>54162</xdr:rowOff>
    </xdr:to>
    <xdr:cxnSp macro="">
      <xdr:nvCxnSpPr>
        <xdr:cNvPr id="14" name="Connecteur droit avec flèche 13">
          <a:extLst>
            <a:ext uri="{FF2B5EF4-FFF2-40B4-BE49-F238E27FC236}">
              <a16:creationId xmlns:a16="http://schemas.microsoft.com/office/drawing/2014/main" id="{AC11D934-192A-4DB3-A406-3E31993BBC27}"/>
            </a:ext>
          </a:extLst>
        </xdr:cNvPr>
        <xdr:cNvCxnSpPr>
          <a:stCxn id="8" idx="7"/>
        </xdr:cNvCxnSpPr>
      </xdr:nvCxnSpPr>
      <xdr:spPr>
        <a:xfrm flipV="1">
          <a:off x="10812469" y="409575"/>
          <a:ext cx="665156" cy="4065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xdr:row>
      <xdr:rowOff>57150</xdr:rowOff>
    </xdr:from>
    <xdr:to>
      <xdr:col>12</xdr:col>
      <xdr:colOff>438150</xdr:colOff>
      <xdr:row>3</xdr:row>
      <xdr:rowOff>9525</xdr:rowOff>
    </xdr:to>
    <xdr:cxnSp macro="">
      <xdr:nvCxnSpPr>
        <xdr:cNvPr id="17" name="Connecteur droit avec flèche 16">
          <a:extLst>
            <a:ext uri="{FF2B5EF4-FFF2-40B4-BE49-F238E27FC236}">
              <a16:creationId xmlns:a16="http://schemas.microsoft.com/office/drawing/2014/main" id="{2028AC8E-CB33-482F-939B-9C42EF756D54}"/>
            </a:ext>
          </a:extLst>
        </xdr:cNvPr>
        <xdr:cNvCxnSpPr>
          <a:stCxn id="8" idx="0"/>
        </xdr:cNvCxnSpPr>
      </xdr:nvCxnSpPr>
      <xdr:spPr>
        <a:xfrm flipV="1">
          <a:off x="10701338" y="438150"/>
          <a:ext cx="33337" cy="3333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4</xdr:row>
      <xdr:rowOff>142875</xdr:rowOff>
    </xdr:from>
    <xdr:to>
      <xdr:col>3</xdr:col>
      <xdr:colOff>447675</xdr:colOff>
      <xdr:row>5</xdr:row>
      <xdr:rowOff>247650</xdr:rowOff>
    </xdr:to>
    <xdr:cxnSp macro="">
      <xdr:nvCxnSpPr>
        <xdr:cNvPr id="20" name="Connecteur droit avec flèche 19">
          <a:extLst>
            <a:ext uri="{FF2B5EF4-FFF2-40B4-BE49-F238E27FC236}">
              <a16:creationId xmlns:a16="http://schemas.microsoft.com/office/drawing/2014/main" id="{5D1AA0D4-8248-447B-91FD-A842D5F5BB53}"/>
            </a:ext>
          </a:extLst>
        </xdr:cNvPr>
        <xdr:cNvCxnSpPr>
          <a:stCxn id="7" idx="2"/>
        </xdr:cNvCxnSpPr>
      </xdr:nvCxnSpPr>
      <xdr:spPr>
        <a:xfrm flipH="1">
          <a:off x="3381375" y="1476375"/>
          <a:ext cx="942975" cy="866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142875</xdr:colOff>
      <xdr:row>5</xdr:row>
      <xdr:rowOff>161925</xdr:rowOff>
    </xdr:from>
    <xdr:to>
      <xdr:col>7</xdr:col>
      <xdr:colOff>457201</xdr:colOff>
      <xdr:row>5</xdr:row>
      <xdr:rowOff>428625</xdr:rowOff>
    </xdr:to>
    <xdr:sp macro="" textlink="">
      <xdr:nvSpPr>
        <xdr:cNvPr id="23" name="Ellipse 22">
          <a:extLst>
            <a:ext uri="{FF2B5EF4-FFF2-40B4-BE49-F238E27FC236}">
              <a16:creationId xmlns:a16="http://schemas.microsoft.com/office/drawing/2014/main" id="{1663A41E-76A7-4663-B5A0-CA37F12F178C}"/>
            </a:ext>
          </a:extLst>
        </xdr:cNvPr>
        <xdr:cNvSpPr/>
      </xdr:nvSpPr>
      <xdr:spPr>
        <a:xfrm>
          <a:off x="7067550" y="2257425"/>
          <a:ext cx="314326" cy="2667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5</a:t>
          </a:r>
        </a:p>
      </xdr:txBody>
    </xdr:sp>
    <xdr:clientData/>
  </xdr:twoCellAnchor>
  <xdr:twoCellAnchor>
    <xdr:from>
      <xdr:col>8</xdr:col>
      <xdr:colOff>723900</xdr:colOff>
      <xdr:row>5</xdr:row>
      <xdr:rowOff>114300</xdr:rowOff>
    </xdr:from>
    <xdr:to>
      <xdr:col>9</xdr:col>
      <xdr:colOff>276226</xdr:colOff>
      <xdr:row>5</xdr:row>
      <xdr:rowOff>381000</xdr:rowOff>
    </xdr:to>
    <xdr:sp macro="" textlink="">
      <xdr:nvSpPr>
        <xdr:cNvPr id="24" name="Ellipse 23">
          <a:extLst>
            <a:ext uri="{FF2B5EF4-FFF2-40B4-BE49-F238E27FC236}">
              <a16:creationId xmlns:a16="http://schemas.microsoft.com/office/drawing/2014/main" id="{64FAA514-6245-4AA4-9C25-F5C76EBF0651}"/>
            </a:ext>
          </a:extLst>
        </xdr:cNvPr>
        <xdr:cNvSpPr/>
      </xdr:nvSpPr>
      <xdr:spPr>
        <a:xfrm>
          <a:off x="8410575" y="2209800"/>
          <a:ext cx="314326" cy="2667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6</a:t>
          </a:r>
        </a:p>
      </xdr:txBody>
    </xdr:sp>
    <xdr:clientData/>
  </xdr:twoCellAnchor>
  <xdr:twoCellAnchor>
    <xdr:from>
      <xdr:col>18</xdr:col>
      <xdr:colOff>285750</xdr:colOff>
      <xdr:row>4</xdr:row>
      <xdr:rowOff>714375</xdr:rowOff>
    </xdr:from>
    <xdr:to>
      <xdr:col>18</xdr:col>
      <xdr:colOff>600076</xdr:colOff>
      <xdr:row>5</xdr:row>
      <xdr:rowOff>228601</xdr:rowOff>
    </xdr:to>
    <xdr:sp macro="" textlink="">
      <xdr:nvSpPr>
        <xdr:cNvPr id="25" name="Ellipse 24">
          <a:extLst>
            <a:ext uri="{FF2B5EF4-FFF2-40B4-BE49-F238E27FC236}">
              <a16:creationId xmlns:a16="http://schemas.microsoft.com/office/drawing/2014/main" id="{EC530182-7302-4CBB-870D-4880BBAF5F9F}"/>
            </a:ext>
          </a:extLst>
        </xdr:cNvPr>
        <xdr:cNvSpPr/>
      </xdr:nvSpPr>
      <xdr:spPr>
        <a:xfrm>
          <a:off x="15592425" y="2047875"/>
          <a:ext cx="314326" cy="276226"/>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7</a:t>
          </a:r>
        </a:p>
      </xdr:txBody>
    </xdr:sp>
    <xdr:clientData/>
  </xdr:twoCellAnchor>
  <xdr:twoCellAnchor>
    <xdr:from>
      <xdr:col>18</xdr:col>
      <xdr:colOff>554044</xdr:colOff>
      <xdr:row>2</xdr:row>
      <xdr:rowOff>38100</xdr:rowOff>
    </xdr:from>
    <xdr:to>
      <xdr:col>19</xdr:col>
      <xdr:colOff>180975</xdr:colOff>
      <xdr:row>4</xdr:row>
      <xdr:rowOff>754827</xdr:rowOff>
    </xdr:to>
    <xdr:cxnSp macro="">
      <xdr:nvCxnSpPr>
        <xdr:cNvPr id="26" name="Connecteur droit avec flèche 25">
          <a:extLst>
            <a:ext uri="{FF2B5EF4-FFF2-40B4-BE49-F238E27FC236}">
              <a16:creationId xmlns:a16="http://schemas.microsoft.com/office/drawing/2014/main" id="{FFDCBDE0-131B-4E6F-A88E-CC873D7DEB6C}"/>
            </a:ext>
          </a:extLst>
        </xdr:cNvPr>
        <xdr:cNvCxnSpPr>
          <a:stCxn id="25" idx="7"/>
        </xdr:cNvCxnSpPr>
      </xdr:nvCxnSpPr>
      <xdr:spPr>
        <a:xfrm flipV="1">
          <a:off x="15860719" y="419100"/>
          <a:ext cx="388931" cy="16692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542925</xdr:colOff>
      <xdr:row>4</xdr:row>
      <xdr:rowOff>695325</xdr:rowOff>
    </xdr:from>
    <xdr:to>
      <xdr:col>8</xdr:col>
      <xdr:colOff>95251</xdr:colOff>
      <xdr:row>5</xdr:row>
      <xdr:rowOff>228600</xdr:rowOff>
    </xdr:to>
    <xdr:sp macro="" textlink="">
      <xdr:nvSpPr>
        <xdr:cNvPr id="29" name="Ellipse 28">
          <a:extLst>
            <a:ext uri="{FF2B5EF4-FFF2-40B4-BE49-F238E27FC236}">
              <a16:creationId xmlns:a16="http://schemas.microsoft.com/office/drawing/2014/main" id="{06DFEC86-C39E-4C70-9688-E6BC27D99864}"/>
            </a:ext>
          </a:extLst>
        </xdr:cNvPr>
        <xdr:cNvSpPr/>
      </xdr:nvSpPr>
      <xdr:spPr>
        <a:xfrm>
          <a:off x="7467600" y="2028825"/>
          <a:ext cx="314326" cy="295275"/>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8</a:t>
          </a:r>
        </a:p>
      </xdr:txBody>
    </xdr:sp>
    <xdr:clientData/>
  </xdr:twoCellAnchor>
  <xdr:twoCellAnchor>
    <xdr:from>
      <xdr:col>7</xdr:col>
      <xdr:colOff>561975</xdr:colOff>
      <xdr:row>5</xdr:row>
      <xdr:rowOff>228600</xdr:rowOff>
    </xdr:from>
    <xdr:to>
      <xdr:col>7</xdr:col>
      <xdr:colOff>700088</xdr:colOff>
      <xdr:row>6</xdr:row>
      <xdr:rowOff>0</xdr:rowOff>
    </xdr:to>
    <xdr:cxnSp macro="">
      <xdr:nvCxnSpPr>
        <xdr:cNvPr id="30" name="Connecteur droit avec flèche 29">
          <a:extLst>
            <a:ext uri="{FF2B5EF4-FFF2-40B4-BE49-F238E27FC236}">
              <a16:creationId xmlns:a16="http://schemas.microsoft.com/office/drawing/2014/main" id="{2E2F6954-8096-4AD6-BFB4-6DA672D9AE30}"/>
            </a:ext>
          </a:extLst>
        </xdr:cNvPr>
        <xdr:cNvCxnSpPr>
          <a:stCxn id="29" idx="4"/>
        </xdr:cNvCxnSpPr>
      </xdr:nvCxnSpPr>
      <xdr:spPr>
        <a:xfrm flipH="1">
          <a:off x="7486650" y="2324100"/>
          <a:ext cx="138113"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590551</xdr:colOff>
      <xdr:row>9</xdr:row>
      <xdr:rowOff>752476</xdr:rowOff>
    </xdr:from>
    <xdr:to>
      <xdr:col>15</xdr:col>
      <xdr:colOff>737367</xdr:colOff>
      <xdr:row>22</xdr:row>
      <xdr:rowOff>28576</xdr:rowOff>
    </xdr:to>
    <xdr:pic>
      <xdr:nvPicPr>
        <xdr:cNvPr id="2" name="Image 1">
          <a:extLst>
            <a:ext uri="{FF2B5EF4-FFF2-40B4-BE49-F238E27FC236}">
              <a16:creationId xmlns:a16="http://schemas.microsoft.com/office/drawing/2014/main" id="{A0803CD4-46A3-ACCB-ACC0-6DF9992B2321}"/>
            </a:ext>
          </a:extLst>
        </xdr:cNvPr>
        <xdr:cNvPicPr>
          <a:picLocks noChangeAspect="1"/>
        </xdr:cNvPicPr>
      </xdr:nvPicPr>
      <xdr:blipFill>
        <a:blip xmlns:r="http://schemas.openxmlformats.org/officeDocument/2006/relationships" r:embed="rId2"/>
        <a:stretch>
          <a:fillRect/>
        </a:stretch>
      </xdr:blipFill>
      <xdr:spPr>
        <a:xfrm>
          <a:off x="3705226" y="6276976"/>
          <a:ext cx="10052816" cy="3276600"/>
        </a:xfrm>
        <a:prstGeom prst="rect">
          <a:avLst/>
        </a:prstGeom>
      </xdr:spPr>
    </xdr:pic>
    <xdr:clientData/>
  </xdr:twoCellAnchor>
  <xdr:twoCellAnchor>
    <xdr:from>
      <xdr:col>4</xdr:col>
      <xdr:colOff>209551</xdr:colOff>
      <xdr:row>9</xdr:row>
      <xdr:rowOff>514351</xdr:rowOff>
    </xdr:from>
    <xdr:to>
      <xdr:col>4</xdr:col>
      <xdr:colOff>523877</xdr:colOff>
      <xdr:row>10</xdr:row>
      <xdr:rowOff>57151</xdr:rowOff>
    </xdr:to>
    <xdr:sp macro="" textlink="">
      <xdr:nvSpPr>
        <xdr:cNvPr id="19" name="Ellipse 18">
          <a:extLst>
            <a:ext uri="{FF2B5EF4-FFF2-40B4-BE49-F238E27FC236}">
              <a16:creationId xmlns:a16="http://schemas.microsoft.com/office/drawing/2014/main" id="{9BE03DB6-0CC7-4AD1-9FAD-73866E456358}"/>
            </a:ext>
          </a:extLst>
        </xdr:cNvPr>
        <xdr:cNvSpPr/>
      </xdr:nvSpPr>
      <xdr:spPr>
        <a:xfrm>
          <a:off x="4848226" y="6038851"/>
          <a:ext cx="314326" cy="304800"/>
        </a:xfrm>
        <a:prstGeom prst="ellipse">
          <a:avLst/>
        </a:prstGeom>
        <a:solidFill>
          <a:sysClr val="window" lastClr="FFFFFF">
            <a:alpha val="12000"/>
          </a:sys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ln>
                <a:solidFill>
                  <a:srgbClr val="FF0000"/>
                </a:solidFill>
              </a:ln>
              <a:solidFill>
                <a:srgbClr val="FF0000"/>
              </a:solidFill>
            </a:rPr>
            <a:t>9</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542438</xdr:colOff>
      <xdr:row>0</xdr:row>
      <xdr:rowOff>48419</xdr:rowOff>
    </xdr:from>
    <xdr:ext cx="4715651" cy="655885"/>
    <xdr:sp macro="" textlink="">
      <xdr:nvSpPr>
        <xdr:cNvPr id="2" name="Rectangle 1">
          <a:extLst>
            <a:ext uri="{FF2B5EF4-FFF2-40B4-BE49-F238E27FC236}">
              <a16:creationId xmlns:a16="http://schemas.microsoft.com/office/drawing/2014/main" id="{DFDB7E2E-B5E3-427D-A83E-0BC44175F801}"/>
            </a:ext>
          </a:extLst>
        </xdr:cNvPr>
        <xdr:cNvSpPr/>
      </xdr:nvSpPr>
      <xdr:spPr>
        <a:xfrm>
          <a:off x="2501867" y="48419"/>
          <a:ext cx="4715651" cy="655885"/>
        </a:xfrm>
        <a:prstGeom prst="rect">
          <a:avLst/>
        </a:prstGeom>
        <a:noFill/>
      </xdr:spPr>
      <xdr:txBody>
        <a:bodyPr wrap="none" lIns="91440" tIns="45720" rIns="91440" bIns="45720">
          <a:spAutoFit/>
        </a:bodyPr>
        <a:lstStyle/>
        <a:p>
          <a:pPr algn="ctr"/>
          <a:r>
            <a:rPr lang="fr-FR" sz="3600" b="1" cap="none" spc="0">
              <a:ln w="1905"/>
              <a:solidFill>
                <a:srgbClr val="009984"/>
              </a:solidFill>
              <a:effectLst>
                <a:innerShdw blurRad="69850" dist="43180" dir="5400000">
                  <a:srgbClr val="000000">
                    <a:alpha val="65000"/>
                  </a:srgbClr>
                </a:innerShdw>
              </a:effectLst>
            </a:rPr>
            <a:t>Simulation financière 1 </a:t>
          </a:r>
        </a:p>
      </xdr:txBody>
    </xdr:sp>
    <xdr:clientData/>
  </xdr:oneCellAnchor>
  <xdr:twoCellAnchor editAs="oneCell">
    <xdr:from>
      <xdr:col>8</xdr:col>
      <xdr:colOff>38553</xdr:colOff>
      <xdr:row>0</xdr:row>
      <xdr:rowOff>116114</xdr:rowOff>
    </xdr:from>
    <xdr:to>
      <xdr:col>9</xdr:col>
      <xdr:colOff>1361903</xdr:colOff>
      <xdr:row>3</xdr:row>
      <xdr:rowOff>123365</xdr:rowOff>
    </xdr:to>
    <xdr:pic>
      <xdr:nvPicPr>
        <xdr:cNvPr id="6" name="Image 5">
          <a:extLst>
            <a:ext uri="{FF2B5EF4-FFF2-40B4-BE49-F238E27FC236}">
              <a16:creationId xmlns:a16="http://schemas.microsoft.com/office/drawing/2014/main" id="{8987CA19-C50B-4382-97D1-7EB8F76A1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2982" y="116114"/>
          <a:ext cx="1536075" cy="711647"/>
        </a:xfrm>
        <a:prstGeom prst="rect">
          <a:avLst/>
        </a:prstGeom>
      </xdr:spPr>
    </xdr:pic>
    <xdr:clientData/>
  </xdr:twoCellAnchor>
  <xdr:twoCellAnchor>
    <xdr:from>
      <xdr:col>0</xdr:col>
      <xdr:colOff>907142</xdr:colOff>
      <xdr:row>63</xdr:row>
      <xdr:rowOff>87886</xdr:rowOff>
    </xdr:from>
    <xdr:to>
      <xdr:col>8</xdr:col>
      <xdr:colOff>117928</xdr:colOff>
      <xdr:row>80</xdr:row>
      <xdr:rowOff>154214</xdr:rowOff>
    </xdr:to>
    <xdr:graphicFrame macro="">
      <xdr:nvGraphicFramePr>
        <xdr:cNvPr id="7" name="Graphique 6">
          <a:extLst>
            <a:ext uri="{FF2B5EF4-FFF2-40B4-BE49-F238E27FC236}">
              <a16:creationId xmlns:a16="http://schemas.microsoft.com/office/drawing/2014/main" id="{FD9EF290-C3BC-4A93-9F77-D6051DF80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28575</xdr:rowOff>
    </xdr:from>
    <xdr:to>
      <xdr:col>0</xdr:col>
      <xdr:colOff>762000</xdr:colOff>
      <xdr:row>187</xdr:row>
      <xdr:rowOff>91947</xdr:rowOff>
    </xdr:to>
    <xdr:pic>
      <xdr:nvPicPr>
        <xdr:cNvPr id="8" name="Image 7">
          <a:extLst>
            <a:ext uri="{FF2B5EF4-FFF2-40B4-BE49-F238E27FC236}">
              <a16:creationId xmlns:a16="http://schemas.microsoft.com/office/drawing/2014/main" id="{890E0BF6-CE58-406C-BDD4-CC5314BC33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8575"/>
          <a:ext cx="762000" cy="25054559"/>
        </a:xfrm>
        <a:prstGeom prst="rect">
          <a:avLst/>
        </a:prstGeom>
      </xdr:spPr>
    </xdr:pic>
    <xdr:clientData/>
  </xdr:twoCellAnchor>
  <xdr:twoCellAnchor>
    <xdr:from>
      <xdr:col>0</xdr:col>
      <xdr:colOff>943429</xdr:colOff>
      <xdr:row>83</xdr:row>
      <xdr:rowOff>0</xdr:rowOff>
    </xdr:from>
    <xdr:to>
      <xdr:col>19</xdr:col>
      <xdr:colOff>925286</xdr:colOff>
      <xdr:row>100</xdr:row>
      <xdr:rowOff>111686</xdr:rowOff>
    </xdr:to>
    <xdr:graphicFrame macro="">
      <xdr:nvGraphicFramePr>
        <xdr:cNvPr id="9" name="Graphique 8">
          <a:extLst>
            <a:ext uri="{FF2B5EF4-FFF2-40B4-BE49-F238E27FC236}">
              <a16:creationId xmlns:a16="http://schemas.microsoft.com/office/drawing/2014/main" id="{B6F647EA-1367-4FB3-B439-3033F2DE5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SHAREPOINT_MVE/Documents%20partages/MVE/1.1_FRANCE_RENOV'/4_outils/Outils%20a%20utiliser%20en%20RDV/Outils_aides_financieres/Simulateur%20des%20aides%20financi&#232;res%202021%20-%20pr&#233;-&#233;tu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gencelocaled-my.sharepoint.com/1.4_PRECARITE_ENERGETIQUE/6_outils/6.%20Suivi/Suivi_m&#233;nages_2018%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gencelocaled-my.sharepoint.com/Users/utilisateur/Agence%20Locale%20de%20l'Energie%20et%20du%20Climat%20MVE/IT%20Admin%20-%20MVE/1.1_FAIRE/3_suivi_projet_particulier/SuiviRDV_FAI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gencelocaled-my.sharepoint.com/Users/utilisateur/Agence%20Locale%20de%20l'Energie%20et%20du%20Climat%20MVE/IT%20Admin%20-%20MVE/1.1_FAIRE/3_suivi_projet_particulier/Suivi%20RDV_ALEC-MV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tilisateur/Desktop/Relance%20RDV%20FAIRE%20M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cription"/>
      <sheetName val="💰 Financement 1"/>
      <sheetName val="Feuil1"/>
      <sheetName val="Listes aides"/>
      <sheetName val="💰 Financement 2"/>
      <sheetName val="💰 Financement 3"/>
      <sheetName val="⚖Comparatif"/>
      <sheetName val="🔎 Aides financières"/>
      <sheetName val="Matrices 1"/>
      <sheetName val="Matrices 2"/>
      <sheetName val="Matrices 3"/>
      <sheetName val="Saisie PB"/>
      <sheetName val="Données calculs"/>
      <sheetName val="Calcul année n"/>
      <sheetName val="Simulation n LL"/>
      <sheetName val="Simulation n LC"/>
      <sheetName val="Zone 1"/>
      <sheetName val="Zone 2"/>
      <sheetName val="Zone 3"/>
      <sheetName val="Zone 4"/>
      <sheetName val="TF"/>
      <sheetName val="Hypothèse et sources"/>
      <sheetName val="Code Commune"/>
    </sheetNames>
    <sheetDataSet>
      <sheetData sheetId="0">
        <row r="63">
          <cell r="R63">
            <v>0</v>
          </cell>
        </row>
      </sheetData>
      <sheetData sheetId="1"/>
      <sheetData sheetId="2"/>
      <sheetData sheetId="3"/>
      <sheetData sheetId="4"/>
      <sheetData sheetId="5"/>
      <sheetData sheetId="6"/>
      <sheetData sheetId="7"/>
      <sheetData sheetId="8">
        <row r="5">
          <cell r="B5" t="str">
            <v>Monsieur</v>
          </cell>
          <cell r="C5" t="str">
            <v>PO</v>
          </cell>
          <cell r="D5" t="str">
            <v>Maison individuel</v>
          </cell>
          <cell r="E5" t="str">
            <v>Oui</v>
          </cell>
          <cell r="F5" t="str">
            <v>En projet</v>
          </cell>
          <cell r="G5" t="str">
            <v>Célibataire sans enfant</v>
          </cell>
          <cell r="H5">
            <v>1</v>
          </cell>
          <cell r="J5" t="str">
            <v>R ≥ P exigée</v>
          </cell>
          <cell r="N5" t="str">
            <v>Travaux lourds</v>
          </cell>
          <cell r="O5" t="str">
            <v>Remplacement d'un foyer ouvert ou foyers fermés d'avant 2002</v>
          </cell>
          <cell r="Q5" t="str">
            <v>Basse température</v>
          </cell>
          <cell r="R5" t="str">
            <v>Type A</v>
          </cell>
        </row>
        <row r="6">
          <cell r="B6" t="str">
            <v>Madame</v>
          </cell>
          <cell r="C6" t="str">
            <v>PB</v>
          </cell>
          <cell r="D6" t="str">
            <v>Appartement</v>
          </cell>
          <cell r="E6" t="str">
            <v>Non</v>
          </cell>
          <cell r="F6" t="str">
            <v>Neuf (-2 ans)</v>
          </cell>
          <cell r="G6" t="str">
            <v>Célibataire avec enfant(s)</v>
          </cell>
          <cell r="H6">
            <v>2</v>
          </cell>
          <cell r="J6" t="str">
            <v>Mat. écologique</v>
          </cell>
          <cell r="N6" t="str">
            <v>Sécurité salubrité/Autonomie</v>
          </cell>
          <cell r="O6" t="str">
            <v>Remplacement d'un foyer ouvert ou foyers fermés d'avant 2002 + parrainage</v>
          </cell>
          <cell r="Q6" t="str">
            <v>Moyenne et haute température</v>
          </cell>
          <cell r="R6" t="str">
            <v>Type B</v>
          </cell>
        </row>
        <row r="7">
          <cell r="B7" t="str">
            <v>Mademoiselle</v>
          </cell>
          <cell r="F7" t="str">
            <v>De 2 à 15 ans</v>
          </cell>
          <cell r="G7" t="str">
            <v>Couple sans enfant</v>
          </cell>
          <cell r="H7">
            <v>3</v>
          </cell>
          <cell r="J7" t="str">
            <v>R ≥ P exigée et écologique</v>
          </cell>
          <cell r="N7" t="str">
            <v>Réhabilitation/Performances énergétiques/RSD/Transformation</v>
          </cell>
        </row>
        <row r="8">
          <cell r="F8" t="str">
            <v>Plus de 15 ans</v>
          </cell>
          <cell r="G8" t="str">
            <v>Couple avec enfant(s)</v>
          </cell>
          <cell r="H8">
            <v>4</v>
          </cell>
          <cell r="J8" t="str">
            <v xml:space="preserve"> </v>
          </cell>
        </row>
        <row r="9">
          <cell r="F9" t="str">
            <v>Avant 2000</v>
          </cell>
          <cell r="H9">
            <v>5</v>
          </cell>
        </row>
        <row r="10">
          <cell r="F10" t="str">
            <v>Avant 1974</v>
          </cell>
          <cell r="H10">
            <v>6</v>
          </cell>
        </row>
        <row r="11">
          <cell r="H11">
            <v>7</v>
          </cell>
        </row>
        <row r="12">
          <cell r="H12">
            <v>8</v>
          </cell>
        </row>
        <row r="13">
          <cell r="H13">
            <v>9</v>
          </cell>
        </row>
        <row r="14">
          <cell r="H14">
            <v>10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de Bord"/>
      <sheetName val="Feuil1"/>
      <sheetName val="Feuil2"/>
      <sheetName val="Analyse - Ménage"/>
      <sheetName val="Analyse - énergie"/>
      <sheetName val="Analyse - logement"/>
      <sheetName val="BDD"/>
      <sheetName val="Données génerales"/>
      <sheetName val="1 Profil des ménages"/>
      <sheetName val="2 Efficacité réseau d'acteur"/>
      <sheetName val="3 pbatique et action MVE"/>
      <sheetName val="4 Conso Energie"/>
      <sheetName val="Montreuil"/>
      <sheetName val="Acc. ANAH"/>
      <sheetName val="Analyse"/>
    </sheetNames>
    <sheetDataSet>
      <sheetData sheetId="0"/>
      <sheetData sheetId="1"/>
      <sheetData sheetId="2"/>
      <sheetData sheetId="3"/>
      <sheetData sheetId="4"/>
      <sheetData sheetId="5"/>
      <sheetData sheetId="6">
        <row r="2">
          <cell r="B2" t="str">
            <v>A contacter</v>
          </cell>
          <cell r="C2" t="str">
            <v>Oui</v>
          </cell>
          <cell r="D2" t="str">
            <v>Homme</v>
          </cell>
          <cell r="E2" t="str">
            <v>PO</v>
          </cell>
          <cell r="F2" t="str">
            <v>MI privé</v>
          </cell>
          <cell r="G2" t="str">
            <v>Electricité</v>
          </cell>
          <cell r="H2" t="str">
            <v>Electricité</v>
          </cell>
          <cell r="I2" t="str">
            <v>Célibataire</v>
          </cell>
          <cell r="J2" t="str">
            <v>Conseil MDE</v>
          </cell>
          <cell r="K2" t="str">
            <v>Moins 25 ans</v>
          </cell>
          <cell r="L2" t="str">
            <v>nc</v>
          </cell>
          <cell r="P2" t="str">
            <v>Salarié</v>
          </cell>
          <cell r="Q2" t="str">
            <v>Facture d'électricité élevée</v>
          </cell>
          <cell r="R2" t="str">
            <v>#####  AIDE A L'ENERGIE #####</v>
          </cell>
          <cell r="U2" t="str">
            <v>SP</v>
          </cell>
        </row>
        <row r="3">
          <cell r="B3" t="str">
            <v>En cours</v>
          </cell>
          <cell r="C3" t="str">
            <v>Non</v>
          </cell>
          <cell r="D3" t="str">
            <v>Femme</v>
          </cell>
          <cell r="E3" t="str">
            <v>PB</v>
          </cell>
          <cell r="F3" t="str">
            <v>MI social</v>
          </cell>
          <cell r="G3" t="str">
            <v>Gaz</v>
          </cell>
          <cell r="H3" t="str">
            <v>Gaz</v>
          </cell>
          <cell r="I3" t="str">
            <v>Concubinage</v>
          </cell>
          <cell r="J3" t="str">
            <v>Accompagnement ANAH</v>
          </cell>
          <cell r="K3" t="str">
            <v>25 à 34 ans</v>
          </cell>
          <cell r="L3" t="str">
            <v>Non éligible</v>
          </cell>
          <cell r="P3" t="str">
            <v>Sans emploi</v>
          </cell>
          <cell r="Q3" t="str">
            <v>Facture de gaz élevée</v>
          </cell>
          <cell r="R3" t="str">
            <v>Tarif de première nécessité</v>
          </cell>
          <cell r="U3" t="str">
            <v>AD</v>
          </cell>
        </row>
        <row r="4">
          <cell r="B4" t="str">
            <v>Terminé</v>
          </cell>
          <cell r="E4" t="str">
            <v>Locataire</v>
          </cell>
          <cell r="F4" t="str">
            <v>Collectif privé</v>
          </cell>
          <cell r="G4" t="str">
            <v>Fioul</v>
          </cell>
          <cell r="H4" t="str">
            <v>Butane</v>
          </cell>
          <cell r="I4" t="str">
            <v>Marié</v>
          </cell>
          <cell r="J4" t="str">
            <v>Suivi énergétique</v>
          </cell>
          <cell r="K4" t="str">
            <v>35 à 49 ans</v>
          </cell>
          <cell r="L4" t="str">
            <v>Modeste</v>
          </cell>
          <cell r="P4" t="str">
            <v>Retraité</v>
          </cell>
          <cell r="Q4" t="str">
            <v>Impayé d'électricité</v>
          </cell>
          <cell r="R4" t="str">
            <v>Tarif spécial de solidarité</v>
          </cell>
          <cell r="U4" t="str">
            <v>JRD</v>
          </cell>
        </row>
        <row r="5">
          <cell r="E5" t="str">
            <v>Hébergé à titre gratuit</v>
          </cell>
          <cell r="F5" t="str">
            <v>Collectif social</v>
          </cell>
          <cell r="G5" t="str">
            <v>Propane</v>
          </cell>
          <cell r="I5" t="str">
            <v>Pacsé</v>
          </cell>
          <cell r="J5" t="str">
            <v>Visite à domicile</v>
          </cell>
          <cell r="K5" t="str">
            <v>50 à 64 ans</v>
          </cell>
          <cell r="L5" t="str">
            <v>Très modeste</v>
          </cell>
          <cell r="Q5" t="str">
            <v>Impayé de gaz</v>
          </cell>
          <cell r="R5" t="str">
            <v>Fond de solidarité énergie</v>
          </cell>
          <cell r="U5" t="str">
            <v>QM</v>
          </cell>
        </row>
        <row r="6">
          <cell r="G6" t="str">
            <v>Butane</v>
          </cell>
          <cell r="I6" t="str">
            <v>Divorcé/séparé</v>
          </cell>
          <cell r="J6" t="str">
            <v>Conseils travaux EIE</v>
          </cell>
          <cell r="K6" t="str">
            <v>Plus 65 ans</v>
          </cell>
          <cell r="Q6" t="str">
            <v>Froid dans le logement</v>
          </cell>
          <cell r="R6" t="str">
            <v>Fond de solidarité logement</v>
          </cell>
          <cell r="U6" t="str">
            <v>PHG</v>
          </cell>
        </row>
        <row r="7">
          <cell r="G7" t="str">
            <v>Bois bûche</v>
          </cell>
          <cell r="I7" t="str">
            <v>Veuf</v>
          </cell>
          <cell r="Q7" t="str">
            <v>Travaux de rénovation</v>
          </cell>
          <cell r="R7" t="str">
            <v>Aide du SIPPEREC</v>
          </cell>
          <cell r="U7" t="str">
            <v>BT</v>
          </cell>
        </row>
        <row r="8">
          <cell r="G8" t="str">
            <v>Bois granulé</v>
          </cell>
          <cell r="Q8" t="str">
            <v xml:space="preserve">Humidité </v>
          </cell>
          <cell r="R8" t="str">
            <v>Aides extralégales</v>
          </cell>
          <cell r="U8" t="str">
            <v>JH</v>
          </cell>
        </row>
        <row r="9">
          <cell r="G9" t="str">
            <v>Solaire/gaz</v>
          </cell>
          <cell r="Q9" t="str">
            <v>Autre (préciser)</v>
          </cell>
          <cell r="R9" t="str">
            <v>Aides d'associations caritatives</v>
          </cell>
        </row>
        <row r="10">
          <cell r="G10" t="str">
            <v>Fioul/élec</v>
          </cell>
          <cell r="R10" t="str">
            <v>##### CONTRAT ENERGIE #####</v>
          </cell>
        </row>
        <row r="11">
          <cell r="R11" t="str">
            <v xml:space="preserve">Plan d'apurement </v>
          </cell>
        </row>
        <row r="12">
          <cell r="R12" t="str">
            <v>Changement de mode facturation</v>
          </cell>
        </row>
        <row r="13">
          <cell r="R13" t="str">
            <v>Changement d'abonnement</v>
          </cell>
        </row>
        <row r="14">
          <cell r="R14" t="str">
            <v>Changement d'option (Base ou HC/HP)</v>
          </cell>
        </row>
        <row r="15">
          <cell r="R15" t="str">
            <v>Changement de fournisseur</v>
          </cell>
        </row>
        <row r="16">
          <cell r="R16" t="str">
            <v>##### SENSIBILISATION #####</v>
          </cell>
        </row>
        <row r="17">
          <cell r="R17" t="str">
            <v>Conseils éco-gestes</v>
          </cell>
        </row>
        <row r="18">
          <cell r="R18" t="str">
            <v>Diagnostic sociotechnique</v>
          </cell>
        </row>
        <row r="19">
          <cell r="R19" t="str">
            <v>##### DECENCE/INSALUBRITE #####</v>
          </cell>
        </row>
        <row r="20">
          <cell r="R20" t="str">
            <v>Procédure d'insalubrité</v>
          </cell>
        </row>
        <row r="21">
          <cell r="R21" t="str">
            <v>Consignation AL/APL CAF</v>
          </cell>
        </row>
        <row r="22">
          <cell r="R22" t="str">
            <v>Médiation bailleur</v>
          </cell>
        </row>
        <row r="23">
          <cell r="R23" t="str">
            <v>##### TRAVAUX DE RENOVATION #####</v>
          </cell>
        </row>
        <row r="24">
          <cell r="R24" t="str">
            <v>Conseils techniques et financiers EIE</v>
          </cell>
        </row>
        <row r="25">
          <cell r="R25" t="str">
            <v>Accompagnement Habiter Mieux</v>
          </cell>
        </row>
        <row r="26">
          <cell r="R26" t="str">
            <v>Comble à 1€</v>
          </cell>
        </row>
        <row r="27">
          <cell r="R27" t="str">
            <v>Aide au logement pour remboursement dette liée au travaux de rénovation énergétique</v>
          </cell>
        </row>
        <row r="28">
          <cell r="R28" t="str">
            <v>Prêt à l'amélioration de l'habitat</v>
          </cell>
        </row>
        <row r="29">
          <cell r="B29" t="str">
            <v>Aubervilliers</v>
          </cell>
          <cell r="R29" t="str">
            <v>Auto-réhabilitation accompagnée</v>
          </cell>
        </row>
        <row r="30">
          <cell r="B30" t="str">
            <v>Aulnay-sous-Bois</v>
          </cell>
          <cell r="R30" t="str">
            <v>##### AUTRES ACTIONS #####</v>
          </cell>
        </row>
        <row r="31">
          <cell r="B31" t="str">
            <v>Bagnolet</v>
          </cell>
          <cell r="R31" t="str">
            <v>Relogement parc social</v>
          </cell>
        </row>
        <row r="32">
          <cell r="B32" t="str">
            <v>Bobigny</v>
          </cell>
          <cell r="R32" t="str">
            <v>CMU-C, ACS</v>
          </cell>
        </row>
        <row r="33">
          <cell r="B33" t="str">
            <v>Bondy</v>
          </cell>
        </row>
        <row r="34">
          <cell r="B34" t="str">
            <v>Bry-sur-Marne</v>
          </cell>
        </row>
        <row r="35">
          <cell r="B35" t="str">
            <v>Clichy-sous-Bois</v>
          </cell>
        </row>
        <row r="36">
          <cell r="B36" t="str">
            <v>Coubron</v>
          </cell>
        </row>
        <row r="37">
          <cell r="B37" t="str">
            <v>Drancy</v>
          </cell>
        </row>
        <row r="38">
          <cell r="B38" t="str">
            <v>Dugny</v>
          </cell>
        </row>
        <row r="39">
          <cell r="B39" t="str">
            <v>Épinay-sur-Seine</v>
          </cell>
        </row>
        <row r="40">
          <cell r="B40" t="str">
            <v>Fontenay-sous-Bois</v>
          </cell>
        </row>
        <row r="41">
          <cell r="B41" t="str">
            <v>Gagny</v>
          </cell>
        </row>
        <row r="42">
          <cell r="B42" t="str">
            <v>Gournay-sur-Marne</v>
          </cell>
        </row>
        <row r="43">
          <cell r="B43" t="str">
            <v>Joinville-le-Pont</v>
          </cell>
        </row>
        <row r="44">
          <cell r="B44" t="str">
            <v>L' Île-Saint-Denis</v>
          </cell>
        </row>
        <row r="45">
          <cell r="B45" t="str">
            <v>La Courneuve</v>
          </cell>
        </row>
        <row r="46">
          <cell r="B46" t="str">
            <v>Le Blanc-Mesnil</v>
          </cell>
        </row>
        <row r="47">
          <cell r="B47" t="str">
            <v>Le Bourget</v>
          </cell>
        </row>
        <row r="48">
          <cell r="B48" t="str">
            <v>Le Pré-Saint-Gervais</v>
          </cell>
        </row>
        <row r="49">
          <cell r="B49" t="str">
            <v>Le Raincy</v>
          </cell>
        </row>
        <row r="50">
          <cell r="B50" t="str">
            <v>Les Lilas</v>
          </cell>
        </row>
        <row r="51">
          <cell r="B51" t="str">
            <v>Les Pavillons-sous-Bois</v>
          </cell>
        </row>
        <row r="52">
          <cell r="B52" t="str">
            <v>Livry-Gargan</v>
          </cell>
        </row>
        <row r="53">
          <cell r="B53" t="str">
            <v>Montfermeil</v>
          </cell>
        </row>
        <row r="54">
          <cell r="B54" t="str">
            <v>Montreuil</v>
          </cell>
        </row>
        <row r="55">
          <cell r="B55" t="str">
            <v>Neuilly-Plaisance</v>
          </cell>
        </row>
        <row r="56">
          <cell r="B56" t="str">
            <v>Neuilly-sur-Marne</v>
          </cell>
        </row>
        <row r="57">
          <cell r="B57" t="str">
            <v>Noisy-le-Grand</v>
          </cell>
        </row>
        <row r="58">
          <cell r="B58" t="str">
            <v>Noisy-le-Sec</v>
          </cell>
        </row>
        <row r="59">
          <cell r="B59" t="str">
            <v>Pantin</v>
          </cell>
        </row>
        <row r="60">
          <cell r="B60" t="str">
            <v>Pierrefitte-sur-Seine</v>
          </cell>
        </row>
        <row r="61">
          <cell r="B61" t="str">
            <v>Romainville</v>
          </cell>
        </row>
        <row r="62">
          <cell r="B62" t="str">
            <v>Rosny-sous-Bois</v>
          </cell>
        </row>
        <row r="63">
          <cell r="B63" t="str">
            <v>Saint-Denis</v>
          </cell>
        </row>
        <row r="64">
          <cell r="B64" t="str">
            <v>Saint-Maurice</v>
          </cell>
        </row>
        <row r="65">
          <cell r="B65" t="str">
            <v>Saint-Ouen</v>
          </cell>
        </row>
        <row r="66">
          <cell r="B66" t="str">
            <v>Sevran</v>
          </cell>
        </row>
        <row r="67">
          <cell r="B67" t="str">
            <v>Stains</v>
          </cell>
        </row>
        <row r="68">
          <cell r="B68" t="str">
            <v>Tremblay-en-France</v>
          </cell>
        </row>
        <row r="69">
          <cell r="B69" t="str">
            <v>Vaujours</v>
          </cell>
        </row>
        <row r="70">
          <cell r="B70" t="str">
            <v>Villemomble</v>
          </cell>
        </row>
        <row r="71">
          <cell r="B71" t="str">
            <v>Villepinte</v>
          </cell>
        </row>
        <row r="72">
          <cell r="B72" t="str">
            <v>Villetaneuse</v>
          </cell>
        </row>
        <row r="73">
          <cell r="B73" t="str">
            <v>Vincennes</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RDV"/>
      <sheetName val="BDD"/>
    </sheetNames>
    <sheetDataSet>
      <sheetData sheetId="0" refreshError="1"/>
      <sheetData sheetId="1">
        <row r="2">
          <cell r="A2" t="str">
            <v>Réalisé</v>
          </cell>
          <cell r="B2" t="str">
            <v>Acteur du champs social</v>
          </cell>
          <cell r="C2" t="str">
            <v>Contact actif</v>
          </cell>
          <cell r="D2" t="str">
            <v>Non éligibles ANAH</v>
          </cell>
          <cell r="E2" t="str">
            <v>Oui</v>
          </cell>
          <cell r="F2" t="str">
            <v>MVE</v>
          </cell>
          <cell r="J2" t="str">
            <v>1/Préparation - BIC</v>
          </cell>
          <cell r="M2" t="str">
            <v>Rénovation globale</v>
          </cell>
          <cell r="N2" t="str">
            <v>Rénovation globale</v>
          </cell>
          <cell r="Q2" t="str">
            <v>AD</v>
          </cell>
        </row>
        <row r="3">
          <cell r="A3" t="str">
            <v>Non</v>
          </cell>
          <cell r="B3" t="str">
            <v>Services technique collectivités</v>
          </cell>
          <cell r="C3" t="str">
            <v>Contact ne répondant plus</v>
          </cell>
          <cell r="D3" t="str">
            <v>Modestes</v>
          </cell>
          <cell r="E3" t="str">
            <v>Non</v>
          </cell>
          <cell r="F3" t="str">
            <v>MVE Tél</v>
          </cell>
          <cell r="J3" t="str">
            <v>2/Qualification de la demande</v>
          </cell>
          <cell r="M3" t="str">
            <v>Bouquet de travaux</v>
          </cell>
          <cell r="N3" t="str">
            <v>Bouquet de travaux</v>
          </cell>
          <cell r="Q3" t="str">
            <v>AG</v>
          </cell>
        </row>
        <row r="4">
          <cell r="A4" t="str">
            <v>En attente de données</v>
          </cell>
          <cell r="B4" t="str">
            <v>PRIS ANAH (dont opérateurs)</v>
          </cell>
          <cell r="C4" t="str">
            <v>Contact ré-orienté</v>
          </cell>
          <cell r="D4" t="str">
            <v>Très Modestes</v>
          </cell>
          <cell r="F4" t="str">
            <v>PIE Externe</v>
          </cell>
          <cell r="J4" t="str">
            <v>3/Données BES en attente</v>
          </cell>
          <cell r="M4" t="str">
            <v>Chauffage</v>
          </cell>
          <cell r="N4" t="str">
            <v>Chauffage</v>
          </cell>
          <cell r="Q4" t="str">
            <v>CH</v>
          </cell>
        </row>
        <row r="5">
          <cell r="B5" t="str">
            <v>PRIS EIE</v>
          </cell>
          <cell r="C5" t="str">
            <v>Contact ne nécessitant plus d'accompagnement</v>
          </cell>
          <cell r="F5" t="str">
            <v>PIE Externe Tél</v>
          </cell>
          <cell r="J5" t="str">
            <v>40/Audit (phase devis)</v>
          </cell>
          <cell r="M5" t="str">
            <v>Isolation</v>
          </cell>
          <cell r="N5" t="str">
            <v>Isolation</v>
          </cell>
          <cell r="Q5" t="str">
            <v>DM</v>
          </cell>
        </row>
        <row r="6">
          <cell r="B6" t="str">
            <v>Professionnels du bâti</v>
          </cell>
          <cell r="J6" t="str">
            <v>41/Audit (phase en cours)</v>
          </cell>
          <cell r="M6" t="str">
            <v>Humidité - Ventilation</v>
          </cell>
          <cell r="N6" t="str">
            <v>Résorption humidité</v>
          </cell>
          <cell r="Q6" t="str">
            <v>DS</v>
          </cell>
        </row>
        <row r="7">
          <cell r="J7" t="str">
            <v>42/Audit (phase réalisé)</v>
          </cell>
          <cell r="M7" t="str">
            <v>Audit - DPE</v>
          </cell>
          <cell r="N7" t="str">
            <v>Etude thermique réalisée</v>
          </cell>
          <cell r="Q7" t="str">
            <v>JRD</v>
          </cell>
        </row>
        <row r="8">
          <cell r="J8" t="str">
            <v>50/MOE Conception (phase devis)</v>
          </cell>
          <cell r="M8" t="str">
            <v>EnR</v>
          </cell>
          <cell r="N8" t="str">
            <v>Installation EnR</v>
          </cell>
          <cell r="Q8" t="str">
            <v>JH</v>
          </cell>
        </row>
        <row r="9">
          <cell r="J9" t="str">
            <v>51/MOE Conception (phase en cours)</v>
          </cell>
          <cell r="M9" t="str">
            <v>Construction neuve</v>
          </cell>
          <cell r="N9" t="str">
            <v>Baisse charges eau-énergie</v>
          </cell>
          <cell r="Q9" t="str">
            <v>PL</v>
          </cell>
        </row>
        <row r="10">
          <cell r="J10" t="str">
            <v>52/MOE Conception (phase réalisée)</v>
          </cell>
          <cell r="M10" t="str">
            <v>Factures élevées</v>
          </cell>
          <cell r="N10" t="str">
            <v>Suivi consommations</v>
          </cell>
          <cell r="Q10" t="str">
            <v>MM</v>
          </cell>
        </row>
        <row r="11">
          <cell r="J11" t="str">
            <v>60/Travaux (phase devis)</v>
          </cell>
          <cell r="M11" t="str">
            <v>Compteurs énergie - eau</v>
          </cell>
          <cell r="N11" t="str">
            <v>Changement compteur-fournisseur</v>
          </cell>
          <cell r="Q11" t="str">
            <v>QM</v>
          </cell>
        </row>
        <row r="12">
          <cell r="J12" t="str">
            <v>61/Travaux (phase en cours)</v>
          </cell>
          <cell r="M12" t="str">
            <v>Précarité énergétique</v>
          </cell>
          <cell r="N12" t="str">
            <v>Divers</v>
          </cell>
          <cell r="Q12" t="str">
            <v>Annulé</v>
          </cell>
        </row>
        <row r="13">
          <cell r="J13" t="str">
            <v>62/Travaux (phase réalisés)</v>
          </cell>
          <cell r="M13" t="str">
            <v>Divers</v>
          </cell>
          <cell r="Q13" t="str">
            <v>ZM</v>
          </cell>
        </row>
        <row r="14">
          <cell r="J14" t="str">
            <v>7/Projet abandonné</v>
          </cell>
        </row>
        <row r="15">
          <cell r="J15" t="str">
            <v>8/Ne concerne plus MVE</v>
          </cell>
        </row>
        <row r="16">
          <cell r="J16" t="str">
            <v>9/Contact ne répondant plus aux relances</v>
          </cell>
        </row>
        <row r="17">
          <cell r="J17" t="str">
            <v>10/ Hors projet de travaux</v>
          </cell>
        </row>
        <row r="18">
          <cell r="J18" t="str">
            <v>11/Projet en suspens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Suivi"/>
      <sheetName val="Graph"/>
      <sheetName val="Stat RDV"/>
    </sheetNames>
    <sheetDataSet>
      <sheetData sheetId="0">
        <row r="2">
          <cell r="J2" t="str">
            <v>Maison_individuelle</v>
          </cell>
          <cell r="K2" t="str">
            <v>Micro_collectif_Inf_5logts</v>
          </cell>
          <cell r="L2" t="str">
            <v>Collectif</v>
          </cell>
        </row>
        <row r="3">
          <cell r="G3" t="str">
            <v>Propriétaire occupant</v>
          </cell>
          <cell r="I3" t="str">
            <v>Privé</v>
          </cell>
        </row>
        <row r="4">
          <cell r="G4" t="str">
            <v>Propriétaire bailleur</v>
          </cell>
          <cell r="I4" t="str">
            <v>social</v>
          </cell>
        </row>
        <row r="5">
          <cell r="G5" t="str">
            <v>Locataire</v>
          </cell>
        </row>
        <row r="6">
          <cell r="G6" t="str">
            <v>Hébergé à titre gratuit</v>
          </cell>
        </row>
        <row r="7">
          <cell r="G7" t="str">
            <v>Autre</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 RDV"/>
      <sheetName val="TCD"/>
      <sheetName val="formule"/>
      <sheetName val="suivi distanciel 2020-2021"/>
      <sheetName val="suivi A4 LI"/>
      <sheetName val="menus déroulants"/>
      <sheetName val="A4 CO"/>
    </sheetNames>
    <sheetDataSet>
      <sheetData sheetId="0">
        <row r="1">
          <cell r="A1" t="str">
            <v>Date de RDV</v>
          </cell>
          <cell r="B1" t="str">
            <v>Mois</v>
          </cell>
          <cell r="C1" t="str">
            <v>Année</v>
          </cell>
          <cell r="D1" t="str">
            <v>Lieu RdV</v>
          </cell>
          <cell r="E1" t="str">
            <v>NOM</v>
          </cell>
          <cell r="F1" t="str">
            <v>ADRESSE</v>
          </cell>
          <cell r="G1" t="str">
            <v>CP</v>
          </cell>
          <cell r="H1" t="str">
            <v xml:space="preserve">Ville </v>
          </cell>
          <cell r="I1" t="str">
            <v>Orientation du contact</v>
          </cell>
          <cell r="J1" t="str">
            <v>Type de RDV à l'agence</v>
          </cell>
          <cell r="K1" t="str">
            <v>Type de public</v>
          </cell>
          <cell r="L1" t="str">
            <v>Courriel</v>
          </cell>
          <cell r="M1" t="str">
            <v>Téléphone</v>
          </cell>
          <cell r="N1" t="str">
            <v>Staut d'occupation</v>
          </cell>
          <cell r="O1" t="str">
            <v>Logement</v>
          </cell>
          <cell r="P1" t="str">
            <v>Copro: travaux collectif ou individuel</v>
          </cell>
          <cell r="Q1" t="str">
            <v>Commentaires - Précisions - Réponses contacts</v>
          </cell>
        </row>
        <row r="2">
          <cell r="A2">
            <v>43732</v>
          </cell>
          <cell r="B2" t="str">
            <v>Septembre</v>
          </cell>
          <cell r="C2">
            <v>2019</v>
          </cell>
          <cell r="D2" t="str">
            <v>MVE</v>
          </cell>
          <cell r="E2" t="str">
            <v>LE ROUX</v>
          </cell>
          <cell r="F2" t="str">
            <v>40 rue Lieutenant d'Estienne d'Orves</v>
          </cell>
          <cell r="G2">
            <v>94700</v>
          </cell>
          <cell r="H2" t="str">
            <v>Maison Alfort</v>
          </cell>
          <cell r="I2" t="str">
            <v>PRIS EIE</v>
          </cell>
          <cell r="J2" t="str">
            <v>Premier RDV</v>
          </cell>
          <cell r="K2" t="str">
            <v>Non éligibles ANAH</v>
          </cell>
          <cell r="L2" t="str">
            <v>delphine.le-roux@vet-alfort.fr</v>
          </cell>
          <cell r="M2" t="str">
            <v>06 88 75 62 22</v>
          </cell>
          <cell r="N2" t="str">
            <v>Propriétaire occupant</v>
          </cell>
          <cell r="O2" t="str">
            <v>Maison_individuelle</v>
          </cell>
          <cell r="P2" t="str">
            <v>non</v>
          </cell>
          <cell r="Q2" t="str">
            <v>Maison années 1900 - 2 étages (dont combles aménagées) - vieille isolation rampants - murs non isolé. Prorité propriétaires refaire isolation combles aménagées.
Murs à isoler ainsi que fenêtres de l'étage à remplacer. Demande dispositifs aides financières.</v>
          </cell>
        </row>
        <row r="3">
          <cell r="A3">
            <v>43732</v>
          </cell>
          <cell r="B3" t="str">
            <v>Septembre</v>
          </cell>
          <cell r="C3">
            <v>2019</v>
          </cell>
          <cell r="D3" t="str">
            <v>MVE</v>
          </cell>
          <cell r="E3" t="str">
            <v>PINSIVY</v>
          </cell>
          <cell r="F3" t="str">
            <v>10 rue Chassagnolle</v>
          </cell>
          <cell r="G3">
            <v>93260</v>
          </cell>
          <cell r="H3" t="str">
            <v>Les Lilas</v>
          </cell>
          <cell r="I3" t="str">
            <v>PRIS EIE</v>
          </cell>
          <cell r="J3" t="str">
            <v>Premier RDV</v>
          </cell>
          <cell r="K3" t="str">
            <v>Non éligibles ANAH</v>
          </cell>
          <cell r="L3" t="str">
            <v>s.pinsivy@hotmail.fr</v>
          </cell>
          <cell r="M3" t="str">
            <v>06 81 80 88 50</v>
          </cell>
          <cell r="N3" t="str">
            <v>Propriétaire occupant</v>
          </cell>
          <cell r="O3" t="str">
            <v>Collectif</v>
          </cell>
          <cell r="P3" t="str">
            <v>non</v>
          </cell>
          <cell r="Q3" t="str">
            <v>Appartement R+2 / 3 - Achat 2015 - Inconfort Pieds froids, murs froids, courant d'air - 2 personnes +1 bébé bientôt
Pignons déjà isolés en ITI vers 2010 par prédecesseus ep. Inconnu - ventilation naturelle
Projet ITI murs facades non isolés + VMC // réno cage escalier par copro prochainement =&gt; faire isoler paroi</v>
          </cell>
        </row>
        <row r="4">
          <cell r="A4">
            <v>43739</v>
          </cell>
          <cell r="B4" t="str">
            <v>Octobre</v>
          </cell>
          <cell r="C4">
            <v>2019</v>
          </cell>
          <cell r="D4" t="str">
            <v>MVE</v>
          </cell>
          <cell r="E4" t="str">
            <v>GRANG</v>
          </cell>
          <cell r="F4" t="str">
            <v>17 chemin des Loriots</v>
          </cell>
          <cell r="G4">
            <v>93230</v>
          </cell>
          <cell r="H4" t="str">
            <v>Romainville</v>
          </cell>
          <cell r="I4" t="str">
            <v>PRIS EIE</v>
          </cell>
          <cell r="J4" t="str">
            <v>Premier RDV</v>
          </cell>
          <cell r="K4" t="str">
            <v>Non éligibles ANAH</v>
          </cell>
          <cell r="L4" t="str">
            <v>melanie.dreno@gmail.com</v>
          </cell>
          <cell r="M4" t="str">
            <v>06 64 48 27 52</v>
          </cell>
          <cell r="N4" t="str">
            <v>Propriétaire occupant</v>
          </cell>
          <cell r="O4" t="str">
            <v>Maison_individuelle</v>
          </cell>
          <cell r="P4" t="str">
            <v>non</v>
          </cell>
          <cell r="Q4" t="str">
            <v>MI 1932 plein pied + extension toiture verrière. Partie ancienne froide humide (chambres) pas isolée pas de VMC. Isolation possible combles perdues et VS.
Murs ITE envisagé côté cours, nombreux murs mitoyens ITI quand possible. Projet système ventilation VMC ou VMR.
Partie récente (verrière) imbriquée dans partie ancienne plafond rampant très peu isolé/ faux plafond isolation inconnue.
Verrière grande étendue double vitrage avec structure extérieure - surchauffe estivale + déperditive: recherche de solutions: volets ext? pare soleil toiture?</v>
          </cell>
        </row>
        <row r="5">
          <cell r="A5">
            <v>43740</v>
          </cell>
          <cell r="B5" t="str">
            <v>Octobre</v>
          </cell>
          <cell r="C5">
            <v>2019</v>
          </cell>
          <cell r="D5" t="str">
            <v>MVE</v>
          </cell>
          <cell r="E5" t="str">
            <v>TURCAUD</v>
          </cell>
          <cell r="F5" t="str">
            <v>16 rue Claude Bernard</v>
          </cell>
          <cell r="G5">
            <v>93100</v>
          </cell>
          <cell r="H5" t="str">
            <v>Montreuil</v>
          </cell>
          <cell r="I5" t="str">
            <v>PRIS EIE</v>
          </cell>
          <cell r="J5" t="str">
            <v>Premier RDV</v>
          </cell>
          <cell r="K5" t="str">
            <v>Très Modestes</v>
          </cell>
          <cell r="L5" t="str">
            <v>sophieturcaud@gmail.com</v>
          </cell>
          <cell r="M5" t="str">
            <v>06 60 24 29 53</v>
          </cell>
          <cell r="N5" t="str">
            <v>Propriétaire occupant</v>
          </cell>
          <cell r="O5" t="str">
            <v>Maison_individuelle</v>
          </cell>
          <cell r="P5" t="str">
            <v>non</v>
          </cell>
          <cell r="Q5" t="str">
            <v xml:space="preserve">Demande initiale: Changement de fenêtres/ devis chaudière condensation et réfléchit pour une isolation des murs et du grenier =&gt; aides ?
partie ancienne quasi non isolé comprend chaudière qui alimente réseau rédiateur des 2 parties, mais manque de chauffage dans la partie récente (manque puissance? perte ?) =&gt; priorité mise sur l'isolation partie ancienne pour réduire déperdition/ besoins chauffage //Question ITE pour façade rue / PLU
Observation fissures sur murs /possibles infiltration eau bas de mur nord: demande expertise avant isolation si besoin travaux étanchéité </v>
          </cell>
        </row>
        <row r="6">
          <cell r="A6">
            <v>43742</v>
          </cell>
          <cell r="B6" t="str">
            <v>Octobre</v>
          </cell>
          <cell r="C6">
            <v>2019</v>
          </cell>
          <cell r="D6" t="str">
            <v>PIE Externe</v>
          </cell>
          <cell r="E6" t="str">
            <v>LIM</v>
          </cell>
          <cell r="F6" t="str">
            <v>46 rue de l'Egalité</v>
          </cell>
          <cell r="G6">
            <v>94500</v>
          </cell>
          <cell r="H6" t="str">
            <v>Champigny-sur-Marne</v>
          </cell>
          <cell r="I6" t="str">
            <v>PRIS EIE</v>
          </cell>
          <cell r="J6" t="str">
            <v>Premier RDV</v>
          </cell>
          <cell r="K6" t="str">
            <v>Non éligibles ANAH</v>
          </cell>
          <cell r="L6" t="str">
            <v>kimkhun.lim@free.fr</v>
          </cell>
          <cell r="M6" t="str">
            <v>01 41 77 97 85</v>
          </cell>
          <cell r="N6" t="str">
            <v>Propriétaire occupant</v>
          </cell>
          <cell r="O6" t="str">
            <v>Maison_individuelle</v>
          </cell>
          <cell r="P6" t="str">
            <v>non</v>
          </cell>
          <cell r="Q6" t="str">
            <v>MI - 6 personnes (partage en indivision avec fils) RFR 27+52k€. R+2 sous-toiture. RDC non isolé (garage+local chaufferie+ hall d'entrée+2x"caves chauffées"). Pièces de vie R+1 et R+2. Murs non isolés, toiture rénovée en 2018 mais pas isolée. Sensation froid R+1 au dessus garage. Problème général d'humidité tout étage - pas de VMC. 
Volonté aménager RDC pour couple retraité: isoler caves murs + sol et ajout véranda. Isolation ITE compliquée mur mitoyens.
Conseil: isoler plafond garage + locaux RDC à aménager. Installation VMC performante pour Pb humidité. Définir projet - ampleur des travaux.</v>
          </cell>
        </row>
        <row r="7">
          <cell r="A7">
            <v>43747</v>
          </cell>
          <cell r="B7" t="str">
            <v>Octobre</v>
          </cell>
          <cell r="C7">
            <v>2019</v>
          </cell>
          <cell r="D7" t="str">
            <v>MVE</v>
          </cell>
          <cell r="E7" t="str">
            <v>DERGHAL</v>
          </cell>
          <cell r="F7" t="str">
            <v>25 Allée de Coulanges</v>
          </cell>
          <cell r="G7">
            <v>93190</v>
          </cell>
          <cell r="H7" t="str">
            <v>Livry-Gargan</v>
          </cell>
          <cell r="I7" t="str">
            <v>PRIS EIE</v>
          </cell>
          <cell r="J7" t="str">
            <v>Premier RDV</v>
          </cell>
          <cell r="K7" t="str">
            <v>Non éligibles ANAH</v>
          </cell>
          <cell r="L7" t="str">
            <v>derghal.salim@gmail.com</v>
          </cell>
          <cell r="M7" t="str">
            <v>07 81 80 10 13</v>
          </cell>
          <cell r="N7" t="str">
            <v>Propriétaire occupant</v>
          </cell>
          <cell r="O7" t="str">
            <v>Maison_individuelle</v>
          </cell>
          <cell r="P7" t="str">
            <v>non</v>
          </cell>
          <cell r="Q7" t="str">
            <v>PO MI 1930 - brique faible isolation intérieure (4cm PSE/Placo)/ Plancher Terre Plein Béton (pas de VS ou cave)/ combles perdues isolation à refaire
Charpente et couv. Refait récemment. Chaudière à condensation &lt; 8ans. VMC ok. 
R+1 froid hiver chaud été: souhait 1- refaire isolation comble 2- envisage ITE (Pignons mitoyens, facade avant fenetres arrière aveugle)</v>
          </cell>
        </row>
        <row r="8">
          <cell r="A8">
            <v>43747</v>
          </cell>
          <cell r="B8" t="str">
            <v>Octobre</v>
          </cell>
          <cell r="C8">
            <v>2019</v>
          </cell>
          <cell r="D8" t="str">
            <v>MVE</v>
          </cell>
          <cell r="E8" t="str">
            <v>GAUTRAND</v>
          </cell>
          <cell r="F8" t="str">
            <v>11 bis rue Eugène Potier</v>
          </cell>
          <cell r="G8">
            <v>93100</v>
          </cell>
          <cell r="H8" t="str">
            <v>Montreuil</v>
          </cell>
          <cell r="I8" t="str">
            <v>PRIS EIE</v>
          </cell>
          <cell r="J8" t="str">
            <v>Premier RDV</v>
          </cell>
          <cell r="K8" t="str">
            <v>Non éligibles ANAH</v>
          </cell>
          <cell r="L8" t="str">
            <v>christophegautrand@gmail.com</v>
          </cell>
          <cell r="M8" t="str">
            <v>06 64 18 38 34</v>
          </cell>
          <cell r="N8" t="str">
            <v>Propriétaire occupant</v>
          </cell>
          <cell r="O8" t="str">
            <v>Maison_individuelle</v>
          </cell>
          <cell r="P8" t="str">
            <v>non</v>
          </cell>
          <cell r="Q8" t="str">
            <v>Rénovation ancien batiment industriel pour résidence Ppal 105m² - achat et travaux commencé été 2019. Toiture charpente à refaire - grde verrière en toiture.
Conservation dalle béton non isolée. Conservation murs parpaing/ brique + ossature IPN
Projet isolation combles rampants (mezzanines) - refaire verrière double vitrage - chauffage poêle bois et appoints radiateurs élec - cumulus élec
Demandes aides financières pour ensemble de la rénovation =&gt; non éligibles Anah non plus CITE car  usage batiment &lt; 2ans</v>
          </cell>
        </row>
        <row r="9">
          <cell r="A9">
            <v>43756</v>
          </cell>
          <cell r="B9" t="str">
            <v>Octobre</v>
          </cell>
          <cell r="C9">
            <v>2019</v>
          </cell>
          <cell r="D9" t="str">
            <v>MVE</v>
          </cell>
          <cell r="E9" t="str">
            <v>BOURGE</v>
          </cell>
          <cell r="F9" t="str">
            <v>83 bis grande rue</v>
          </cell>
          <cell r="G9">
            <v>93250</v>
          </cell>
          <cell r="H9" t="str">
            <v>Villemomble</v>
          </cell>
          <cell r="I9" t="str">
            <v>PRIS EIE</v>
          </cell>
          <cell r="J9" t="str">
            <v>Premier RDV</v>
          </cell>
          <cell r="K9" t="str">
            <v>Très Modestes</v>
          </cell>
          <cell r="L9" t="str">
            <v>titinebourge@yahoo.fr</v>
          </cell>
          <cell r="M9" t="str">
            <v>06 64 52 65 24</v>
          </cell>
          <cell r="N9" t="str">
            <v>Propriétaire occupant</v>
          </cell>
          <cell r="O9" t="str">
            <v>Maison_individuelle</v>
          </cell>
          <cell r="P9" t="str">
            <v>non</v>
          </cell>
          <cell r="Q9" t="str">
            <v>Maison plein pied en L 70m². Toitures une pente - Partie avec comble perdue non isolée accès trappes murale par extérieure.
Travaux il y a 2-3 ans changement fenêtres/voltes/porte d'entrée + chaudière
Information sur tehnique isolation comble, aides financières (ANAH très modeste) et points de vigilances offres à 1€
Cave à isoler pe pour atteindre 25% sérénité</v>
          </cell>
        </row>
        <row r="10">
          <cell r="A10">
            <v>43756</v>
          </cell>
          <cell r="B10" t="str">
            <v>Octobre</v>
          </cell>
          <cell r="C10">
            <v>2019</v>
          </cell>
          <cell r="D10" t="str">
            <v>MVE</v>
          </cell>
          <cell r="E10" t="str">
            <v>GAIHAC / ANGEVIN</v>
          </cell>
          <cell r="F10" t="str">
            <v>52 rue de la Chasse</v>
          </cell>
          <cell r="G10">
            <v>93130</v>
          </cell>
          <cell r="H10" t="str">
            <v>Noisy-le-Sec</v>
          </cell>
          <cell r="I10" t="str">
            <v>PRIS EIE</v>
          </cell>
          <cell r="J10" t="str">
            <v>Premier RDV</v>
          </cell>
          <cell r="K10" t="str">
            <v>Modestes</v>
          </cell>
          <cell r="L10" t="str">
            <v>lorrainegailhac@hotmail.fr
sebastien.angevin@gmail.com</v>
          </cell>
          <cell r="M10" t="str">
            <v>06 29 73 20 34</v>
          </cell>
          <cell r="N10" t="str">
            <v>Propriétaire occupant</v>
          </cell>
          <cell r="O10" t="str">
            <v>Maison_individuelle</v>
          </cell>
          <cell r="P10" t="str">
            <v>non</v>
          </cell>
          <cell r="Q10" t="str">
            <v>MI années 70 parpaing + brique - acqusition 2019. Accès RDC + bureau - grand garage non chauffé - espace vie R+1. Combles aménageable
Vieille isolation ext. PSE 6cm - vieille double fenêtre SV. Rampants combles isolés. VMR inefficace.
Projet ITI RDC bureau + étage - VMC - garage plafond. Financement ANAH: sérenité/agilité + coup de pouce à définir</v>
          </cell>
        </row>
        <row r="11">
          <cell r="A11">
            <v>43763</v>
          </cell>
          <cell r="B11" t="str">
            <v>Octobre</v>
          </cell>
          <cell r="C11">
            <v>2019</v>
          </cell>
          <cell r="D11" t="str">
            <v>MVE</v>
          </cell>
          <cell r="E11" t="str">
            <v>DA SILVA</v>
          </cell>
          <cell r="F11" t="str">
            <v>2 rue Henry Robert</v>
          </cell>
          <cell r="G11">
            <v>94500</v>
          </cell>
          <cell r="H11" t="str">
            <v>Champigny-sur-Marne</v>
          </cell>
          <cell r="I11" t="str">
            <v>PRIS EIE</v>
          </cell>
          <cell r="J11" t="str">
            <v>Premier RDV</v>
          </cell>
          <cell r="K11" t="str">
            <v>Non éligibles ANAH</v>
          </cell>
          <cell r="L11" t="str">
            <v>dasilva.gael@gmail.com</v>
          </cell>
          <cell r="M11" t="str">
            <v>06 17 79 50 91</v>
          </cell>
          <cell r="N11" t="str">
            <v>Propriétaire occupant</v>
          </cell>
          <cell r="O11" t="str">
            <v>Maison_individuelle</v>
          </cell>
          <cell r="P11" t="str">
            <v>non</v>
          </cell>
          <cell r="Q11" t="str">
            <v>Locataire - achat du logement prochainement - travaux de rénovation énergétique - couple 2/3 enfant RFR ~60 000€
MI R+1 - combles rampants isolés (ep ?) - VS  - 2 pignons limitrophes voisons et facades irrégulière non isolés- VMC - ch et ECS élec 
Inconfort froid hiver RDC / chaud été R+1
Info isolation mur/ placher + aides financières</v>
          </cell>
        </row>
        <row r="12">
          <cell r="A12">
            <v>43763</v>
          </cell>
          <cell r="B12" t="str">
            <v>Octobre</v>
          </cell>
          <cell r="C12">
            <v>2019</v>
          </cell>
          <cell r="D12" t="str">
            <v>MVE</v>
          </cell>
          <cell r="E12" t="str">
            <v>VILAIRE</v>
          </cell>
          <cell r="F12" t="str">
            <v>192 rue Romainville</v>
          </cell>
          <cell r="G12">
            <v>93100</v>
          </cell>
          <cell r="H12" t="str">
            <v>Montreuil</v>
          </cell>
          <cell r="I12" t="str">
            <v>PRIS EIE</v>
          </cell>
          <cell r="J12" t="str">
            <v>Premier RDV</v>
          </cell>
          <cell r="K12" t="str">
            <v>Très Modestes</v>
          </cell>
          <cell r="L12" t="str">
            <v>mfvilaire@gmail.com</v>
          </cell>
          <cell r="M12" t="str">
            <v>06 18 13 89 11</v>
          </cell>
          <cell r="N12" t="str">
            <v>Propriétaire occupant</v>
          </cell>
          <cell r="O12" t="str">
            <v>Collectif</v>
          </cell>
          <cell r="P12" t="str">
            <v>non</v>
          </cell>
          <cell r="Q12" t="str">
            <v>PO - Copro 5 batiments - 70 copropriétaires - vote travaux collectif ravalement + ITE en janvier 2019 basé sur devis
Besoin Aides financières pour paiement quote part travaux + ITE ~15 000€.
N'a pas souscrit au prêt collectif - doit 22 mensualités de ~670€ par mois début mars 2019 - ne peut pas payer.
Prise de renseignement  nécessaires:- audit énergétique préalable? contacter le syndic. ANAH 25% ? contacter ANAH</v>
          </cell>
        </row>
        <row r="13">
          <cell r="A13">
            <v>43764</v>
          </cell>
          <cell r="B13" t="str">
            <v>Octobre</v>
          </cell>
          <cell r="C13">
            <v>2019</v>
          </cell>
          <cell r="D13" t="str">
            <v>MVE</v>
          </cell>
          <cell r="E13" t="str">
            <v>BENOIT</v>
          </cell>
          <cell r="F13" t="str">
            <v>26 rue Amiot</v>
          </cell>
          <cell r="G13">
            <v>93220</v>
          </cell>
          <cell r="H13" t="str">
            <v>Gagny</v>
          </cell>
          <cell r="I13" t="str">
            <v>PRIS EIE</v>
          </cell>
          <cell r="J13" t="str">
            <v>Premier RDV</v>
          </cell>
          <cell r="K13" t="str">
            <v>Très Modestes</v>
          </cell>
          <cell r="L13" t="str">
            <v>lestat77130@hotmail.fr</v>
          </cell>
          <cell r="M13" t="str">
            <v>06 62 89 30 04</v>
          </cell>
          <cell r="N13" t="str">
            <v>Propriétaire occupant</v>
          </cell>
          <cell r="O13" t="str">
            <v>Collectif</v>
          </cell>
          <cell r="P13" t="str">
            <v>non</v>
          </cell>
          <cell r="Q13" t="str">
            <v>Petite copro une maison 2 étage en indivision frère et sœur - éligible ANAH mais pas agilité = pas de chaudière 1€
Combles isolées, plancher isolé, ITI en cours par ses propres soins. Besoin changement chaudière gaz + 20 ans + ajout VMC
Souhait passer à PAC aéro pour supprimer radiateur pb fixation mais pas d'aides
Chaudière gaz condensation ou PAC air/eau - financement sérénité incertain =&gt; orientation vers coup de pouce + CITE</v>
          </cell>
        </row>
        <row r="14">
          <cell r="A14">
            <v>43764</v>
          </cell>
          <cell r="B14" t="str">
            <v>Octobre</v>
          </cell>
          <cell r="C14">
            <v>2019</v>
          </cell>
          <cell r="D14" t="str">
            <v>MVE</v>
          </cell>
          <cell r="E14" t="str">
            <v>GASTAL</v>
          </cell>
          <cell r="F14" t="str">
            <v>39 avenue emile cossonneau</v>
          </cell>
          <cell r="G14">
            <v>93370</v>
          </cell>
          <cell r="H14" t="str">
            <v>Montfermeil</v>
          </cell>
          <cell r="I14" t="str">
            <v>PRIS EIE</v>
          </cell>
          <cell r="J14" t="str">
            <v>Premier RDV</v>
          </cell>
          <cell r="K14" t="str">
            <v>Non éligibles ANAH</v>
          </cell>
          <cell r="L14" t="str">
            <v>aucune</v>
          </cell>
          <cell r="M14" t="str">
            <v>01 43 32 71 09</v>
          </cell>
          <cell r="N14" t="str">
            <v>Propriétaire occupant</v>
          </cell>
          <cell r="O14" t="str">
            <v>Maison_individuelle</v>
          </cell>
          <cell r="P14" t="str">
            <v>non</v>
          </cell>
          <cell r="Q14" t="str">
            <v>MI années 30 avec extension années 80 - RDC garage/ pièces de vie R+1 / combles perdues anciennes isolation
Projet ITE bien avancé - personnes bien renseignées ont sélectionné entreprise de confiance périmètre défini en attente devis
Questions sur aides financières: non éligibles ANAH mais aides CEE + CITE - 
point de vigilance sur ventilation actuellemnt naturelle prévoir VMC/ VMR + attention à insert d'appoint tirage air intérieur</v>
          </cell>
        </row>
        <row r="15">
          <cell r="A15">
            <v>43768</v>
          </cell>
          <cell r="B15" t="str">
            <v>Octobre</v>
          </cell>
          <cell r="C15">
            <v>2019</v>
          </cell>
          <cell r="D15" t="str">
            <v>MVE</v>
          </cell>
          <cell r="E15" t="str">
            <v>COPRO
CONRAD</v>
          </cell>
          <cell r="G15">
            <v>93260</v>
          </cell>
          <cell r="H15" t="str">
            <v>Les Lilas</v>
          </cell>
          <cell r="I15" t="str">
            <v>PRIS EIE</v>
          </cell>
          <cell r="J15" t="str">
            <v>Premier RDV</v>
          </cell>
          <cell r="K15" t="str">
            <v>Non éligibles ANAH</v>
          </cell>
          <cell r="L15" t="str">
            <v>patricia.inimod@laposte.com 
ludivinec@yahoo.com</v>
          </cell>
          <cell r="M15" t="str">
            <v>06 15  38 31 26</v>
          </cell>
          <cell r="N15" t="str">
            <v>Propriétaire occupant</v>
          </cell>
          <cell r="O15" t="str">
            <v>Collectif</v>
          </cell>
          <cell r="P15" t="str">
            <v>oui</v>
          </cell>
          <cell r="Q15" t="str">
            <v>Copropriété 1930, PO, membre CS, chauffage gaz collectif de 45 logements
=&gt;la présidente du cs cherche à faire voter un bouquet de travaux conséquent incluant une ite sur la base d'un audit énergétique réalisé
Les personnes rencontrées membres du CS n'y sont pas favorable et veulent connaitre les obligations reglementaires.
Orientation vers un DTG pour prendre en compte les aspects autres qu'énergétiques</v>
          </cell>
        </row>
        <row r="16">
          <cell r="A16">
            <v>43784</v>
          </cell>
          <cell r="B16" t="str">
            <v>Novembre</v>
          </cell>
          <cell r="C16">
            <v>2019</v>
          </cell>
          <cell r="D16" t="str">
            <v>PIE Externe</v>
          </cell>
          <cell r="E16" t="str">
            <v>FLEURY</v>
          </cell>
          <cell r="F16" t="str">
            <v>7 bis rue de la République</v>
          </cell>
          <cell r="G16">
            <v>94220</v>
          </cell>
          <cell r="H16" t="str">
            <v>Charenton-le-Pont</v>
          </cell>
          <cell r="I16" t="str">
            <v>PRIS EIE</v>
          </cell>
          <cell r="J16" t="str">
            <v>Premier RDV</v>
          </cell>
          <cell r="K16" t="str">
            <v>Non éligibles ANAH</v>
          </cell>
          <cell r="L16" t="str">
            <v>myriam2alves@gmail.com</v>
          </cell>
          <cell r="M16" t="str">
            <v>07 55 68 91 91</v>
          </cell>
          <cell r="N16" t="str">
            <v>Propriétaire occupant</v>
          </cell>
          <cell r="O16" t="str">
            <v>Maison_individuelle</v>
          </cell>
          <cell r="P16" t="str">
            <v>non</v>
          </cell>
          <cell r="Q16" t="str">
            <v>Rénovation d'une maison 193 suite à achat Charenton-LP - couple 2 enfants
site classé - conditions ABF sur aspect facade.
Possibilité ITE à vérifier + facade Nord mitoyenne accord Copro voisine
Réno facades,combles,  elec, plomberie, fenêtres … Aides</v>
          </cell>
        </row>
        <row r="17">
          <cell r="A17">
            <v>43784</v>
          </cell>
          <cell r="B17" t="str">
            <v>Novembre</v>
          </cell>
          <cell r="C17">
            <v>2019</v>
          </cell>
          <cell r="D17" t="str">
            <v>PIE Externe</v>
          </cell>
          <cell r="E17" t="str">
            <v>EDMOND</v>
          </cell>
          <cell r="F17" t="str">
            <v>40 rue de Musselburgh</v>
          </cell>
          <cell r="G17">
            <v>94500</v>
          </cell>
          <cell r="H17" t="str">
            <v>Champigny-sur-Marne</v>
          </cell>
          <cell r="I17" t="str">
            <v>PRIS EIE</v>
          </cell>
          <cell r="J17" t="str">
            <v>Premier RDV</v>
          </cell>
          <cell r="K17" t="str">
            <v>Très Modestes</v>
          </cell>
          <cell r="L17" t="str">
            <v xml:space="preserve">ve.edmond@yahoo.com </v>
          </cell>
          <cell r="M17" t="str">
            <v>06 75 65 69 29</v>
          </cell>
          <cell r="N17" t="str">
            <v>Propriétaire occupant</v>
          </cell>
          <cell r="O17" t="str">
            <v>Collectif</v>
          </cell>
          <cell r="P17" t="str">
            <v>non</v>
          </cell>
          <cell r="Q17" t="str">
            <v>Appartement achat avril 2019 - 1960 - 53m² - 1pers - éligible ANAH très modeste
Changement fenêtres SV origine - Changement Chauffe-eau gaz
Aides ANAH 25%?  Sinon CITE + CEE</v>
          </cell>
        </row>
        <row r="18">
          <cell r="A18">
            <v>43791</v>
          </cell>
          <cell r="B18" t="str">
            <v>Novembre</v>
          </cell>
          <cell r="C18">
            <v>2019</v>
          </cell>
          <cell r="D18" t="str">
            <v>MVE</v>
          </cell>
          <cell r="E18" t="str">
            <v>MECHRI</v>
          </cell>
          <cell r="F18" t="str">
            <v>25 boucle de la nacelle</v>
          </cell>
          <cell r="G18">
            <v>93160</v>
          </cell>
          <cell r="H18" t="str">
            <v>Noisy-le-Grand</v>
          </cell>
          <cell r="I18" t="str">
            <v>PRIS EIE</v>
          </cell>
          <cell r="J18" t="str">
            <v>Premier RDV</v>
          </cell>
          <cell r="K18" t="str">
            <v>Modestes</v>
          </cell>
          <cell r="L18" t="str">
            <v xml:space="preserve">ines.mechri@hotmail.com </v>
          </cell>
          <cell r="M18" t="str">
            <v>06 23 46 81 85</v>
          </cell>
          <cell r="N18" t="str">
            <v>Propriétaire occupant</v>
          </cell>
          <cell r="O18" t="str">
            <v>Maison_individuelle</v>
          </cell>
          <cell r="P18" t="str">
            <v>non</v>
          </cell>
          <cell r="Q18" t="str">
            <v>Maison années 70 mitoyenne - famille 2 enfants - achat récent
Gros problèmes humidité condensation fenetres simple vitrage pas de VMC - souhait travaux au + tôt.
Eligible ANAH mais pressé de signer devis Fenêtres =&gt; orientation vers CITE + CEE
Accent mis  MM sur besoin de VMC</v>
          </cell>
        </row>
        <row r="19">
          <cell r="A19">
            <v>43791</v>
          </cell>
          <cell r="B19" t="str">
            <v>Novembre</v>
          </cell>
          <cell r="C19">
            <v>2019</v>
          </cell>
          <cell r="D19" t="str">
            <v>MVE</v>
          </cell>
          <cell r="E19" t="str">
            <v>Yavaneethan</v>
          </cell>
          <cell r="F19" t="str">
            <v>1 rue Jean Coquelin</v>
          </cell>
          <cell r="G19">
            <v>93100</v>
          </cell>
          <cell r="H19" t="str">
            <v>Montreuil</v>
          </cell>
          <cell r="I19" t="str">
            <v>PRIS EIE</v>
          </cell>
          <cell r="J19" t="str">
            <v>Premier RDV</v>
          </cell>
          <cell r="K19" t="str">
            <v>Très Modestes</v>
          </cell>
          <cell r="L19" t="str">
            <v>subajini15@gmail.com</v>
          </cell>
          <cell r="M19" t="str">
            <v>06 33 76 33 06</v>
          </cell>
          <cell r="N19" t="str">
            <v>Propriétaire occupant</v>
          </cell>
          <cell r="O19" t="str">
            <v>Collectif</v>
          </cell>
          <cell r="P19" t="str">
            <v>non</v>
          </cell>
          <cell r="Q19" t="str">
            <v>Appartement années 50? chauffage individuel  et ECS individuel séparés - famille 2 enfants très modeste ANAH
Aides pour changement fenêtre +  chauffage (très vieux) =&gt; ANAH sérénité
Conseil approche conseil de copro: récupérer reglement copro, chercher si travaux de réno prévu, si audits énergie existant</v>
          </cell>
        </row>
        <row r="20">
          <cell r="A20">
            <v>43797</v>
          </cell>
          <cell r="B20" t="str">
            <v>Novembre</v>
          </cell>
          <cell r="C20">
            <v>2019</v>
          </cell>
          <cell r="D20" t="str">
            <v>MVE</v>
          </cell>
          <cell r="E20" t="str">
            <v>SPIERO</v>
          </cell>
          <cell r="F20" t="str">
            <v>90 rue Etienne Marcel</v>
          </cell>
          <cell r="G20">
            <v>93100</v>
          </cell>
          <cell r="H20" t="str">
            <v>Montreuil</v>
          </cell>
          <cell r="I20" t="str">
            <v>PRIS EIE</v>
          </cell>
          <cell r="J20" t="str">
            <v>Premier RDV</v>
          </cell>
          <cell r="K20" t="str">
            <v>Non éligibles ANAH</v>
          </cell>
          <cell r="L20" t="str">
            <v>julienspiero@gmail.com</v>
          </cell>
          <cell r="M20" t="str">
            <v>06 23 40 67 00</v>
          </cell>
          <cell r="N20" t="str">
            <v>Propriétaire occupant</v>
          </cell>
          <cell r="O20" t="str">
            <v>Maison_individuelle</v>
          </cell>
          <cell r="P20" t="str">
            <v>non</v>
          </cell>
          <cell r="Q20" t="str">
            <v>MI - un pignon mitoyen - RDC + 1 et cave - 4personnes - non anah
Surélévation d'un étage - réno global de l'existant.  Gros problème d'humidité =&gt; besoin VMC
Changement et déplacement chaudière gaz de cave à RDC. ITE peut-être.
Aides à la rénovation=&gt; CEE / cp de pouce + CITE (si ok 2020) + eco PTZ</v>
          </cell>
        </row>
        <row r="21">
          <cell r="A21">
            <v>43797</v>
          </cell>
          <cell r="B21" t="str">
            <v>Novembre</v>
          </cell>
          <cell r="C21">
            <v>2019</v>
          </cell>
          <cell r="D21" t="str">
            <v>MVE</v>
          </cell>
          <cell r="E21" t="str">
            <v>GIALLOLACCI</v>
          </cell>
          <cell r="F21" t="str">
            <v>90 rue Camelinat</v>
          </cell>
          <cell r="G21">
            <v>93100</v>
          </cell>
          <cell r="H21" t="str">
            <v>Montreuil</v>
          </cell>
          <cell r="I21" t="str">
            <v>PRIS EIE</v>
          </cell>
          <cell r="J21" t="str">
            <v>Premier RDV</v>
          </cell>
          <cell r="K21" t="str">
            <v>Non éligibles ANAH</v>
          </cell>
          <cell r="L21" t="str">
            <v xml:space="preserve">paloma.giallolacci@gmail.com </v>
          </cell>
          <cell r="M21" t="str">
            <v>06 09 50 40 82</v>
          </cell>
          <cell r="N21" t="str">
            <v>Propriétaire occupant</v>
          </cell>
          <cell r="O21" t="str">
            <v>Maison_individuelle</v>
          </cell>
          <cell r="P21" t="str">
            <v>non</v>
          </cell>
          <cell r="Q21" t="str">
            <v>2p - acht 2019 maison indiv R+1 combles perdues 
Réno global, élec, plomberie, sols et cloisons. Toiture souhait de casser plafond léger  et isoler rampants +VMC
Mur isolation existante PSE ~10cm int et ext: pertinence isolation? pe ITE mais facade nord mitoyenne
Chauffage et ECS tout élec - envisage chaudière central gaz/PAC/ bois + installation émetteurs à eau</v>
          </cell>
        </row>
        <row r="22">
          <cell r="A22">
            <v>43798</v>
          </cell>
          <cell r="B22" t="str">
            <v>Novembre</v>
          </cell>
          <cell r="C22">
            <v>2019</v>
          </cell>
          <cell r="D22" t="str">
            <v>MVE</v>
          </cell>
          <cell r="E22" t="str">
            <v>HUMBAIRE</v>
          </cell>
          <cell r="F22" t="str">
            <v>20 bis rue des vosges</v>
          </cell>
          <cell r="G22">
            <v>93130</v>
          </cell>
          <cell r="H22" t="str">
            <v>Noisy-le-Sec</v>
          </cell>
          <cell r="I22" t="str">
            <v>PRIS EIE</v>
          </cell>
          <cell r="J22" t="str">
            <v>Premier RDV</v>
          </cell>
          <cell r="K22" t="str">
            <v>Non éligibles ANAH</v>
          </cell>
          <cell r="L22" t="str">
            <v>lucie.humbaire@gmail.com</v>
          </cell>
          <cell r="M22" t="str">
            <v>06 18 94 68 08</v>
          </cell>
          <cell r="N22" t="str">
            <v>Propriétaire occupant</v>
          </cell>
          <cell r="O22" t="str">
            <v>Maison_individuelle</v>
          </cell>
          <cell r="P22" t="str">
            <v>non</v>
          </cell>
          <cell r="Q22" t="str">
            <v>Maison mitoyenne 3étages - toiture isolée - fenêtres changées - Vieille chaudière fioul installée 1980 brûleur 2008
thermostat central mais pas de robinets thermo et certains radiateurs bloqués
Souhait soit chaudière central bois soit poêle bois (déconseillé car 3étages et réseau eau ok)- Aides CEE pe CITE 2020?</v>
          </cell>
        </row>
        <row r="23">
          <cell r="A23">
            <v>43798</v>
          </cell>
          <cell r="B23" t="str">
            <v>Novembre</v>
          </cell>
          <cell r="C23">
            <v>2019</v>
          </cell>
          <cell r="D23" t="str">
            <v>MVE</v>
          </cell>
          <cell r="E23" t="str">
            <v>JOSSEC</v>
          </cell>
          <cell r="F23" t="str">
            <v>28 avenue Verdun</v>
          </cell>
          <cell r="G23">
            <v>93230</v>
          </cell>
          <cell r="H23" t="str">
            <v>Romainville</v>
          </cell>
          <cell r="I23" t="str">
            <v>PRIS EIE</v>
          </cell>
          <cell r="J23" t="str">
            <v>Premier RDV</v>
          </cell>
          <cell r="K23" t="str">
            <v>Non éligibles ANAH</v>
          </cell>
          <cell r="L23" t="str">
            <v>stephjossec@gmail.com</v>
          </cell>
          <cell r="M23" t="str">
            <v xml:space="preserve">06 22 20 48 20 </v>
          </cell>
          <cell r="N23" t="str">
            <v>Propriétaire bailleur</v>
          </cell>
          <cell r="O23" t="str">
            <v>Maison_individuelle</v>
          </cell>
          <cell r="P23" t="str">
            <v>non</v>
          </cell>
          <cell r="Q23" t="str">
            <v>Acquisition déc19 MI 105 mètres carrés avec 2 extensions. PB puis PO dans 3 ans. 
Souhaite faire l'isolation enveloppe d'une partie  (combles et mur ext) et changement des parois vitrées simple vitrage.
Aides CEE pe CITE 2020 PB? Voir également si exonération taxe foncière ave Mairie</v>
          </cell>
        </row>
        <row r="24">
          <cell r="A24">
            <v>43804</v>
          </cell>
          <cell r="B24" t="str">
            <v>Décembre</v>
          </cell>
          <cell r="C24">
            <v>2019</v>
          </cell>
          <cell r="D24" t="str">
            <v>MVE</v>
          </cell>
          <cell r="E24" t="str">
            <v>SANTO</v>
          </cell>
          <cell r="F24" t="str">
            <v>31bis, rue des vosges</v>
          </cell>
          <cell r="G24">
            <v>93130</v>
          </cell>
          <cell r="H24" t="str">
            <v>Noisy-le-Sec</v>
          </cell>
          <cell r="I24" t="str">
            <v>PRIS EIE</v>
          </cell>
          <cell r="J24" t="str">
            <v>Premier RDV</v>
          </cell>
          <cell r="K24" t="str">
            <v>Non éligibles ANAH</v>
          </cell>
          <cell r="L24" t="str">
            <v>rhumanisel@gmail.com</v>
          </cell>
          <cell r="N24" t="str">
            <v>Propriétaire bailleur</v>
          </cell>
          <cell r="O24" t="str">
            <v>Maison_individuelle</v>
          </cell>
          <cell r="P24" t="str">
            <v>non</v>
          </cell>
          <cell r="Q24" t="str">
            <v>MI 1 étage + comble perdues - 4 pers - Hors ANAH
Aides réno isolation combles + ITI + chauffage existant idem +Extension (~surface +30%)</v>
          </cell>
        </row>
        <row r="25">
          <cell r="A25">
            <v>43805</v>
          </cell>
          <cell r="B25" t="str">
            <v>Décembre</v>
          </cell>
          <cell r="C25">
            <v>2019</v>
          </cell>
          <cell r="D25" t="str">
            <v>MVE</v>
          </cell>
          <cell r="E25" t="str">
            <v>RUCINE</v>
          </cell>
          <cell r="F25" t="str">
            <v>16 AV JEAN D ESTIENNE D ORVES</v>
          </cell>
          <cell r="G25">
            <v>94340</v>
          </cell>
          <cell r="H25" t="str">
            <v>Joinville-le-Pont</v>
          </cell>
          <cell r="I25" t="str">
            <v>PRIS EIE</v>
          </cell>
          <cell r="J25" t="str">
            <v>Premier RDV</v>
          </cell>
          <cell r="K25" t="str">
            <v>Non éligibles ANAH</v>
          </cell>
          <cell r="L25" t="str">
            <v>rumael19@gmail.com</v>
          </cell>
          <cell r="M25" t="str">
            <v>06 50 78 05 98</v>
          </cell>
          <cell r="N25" t="str">
            <v>Propriétaire occupant</v>
          </cell>
          <cell r="O25" t="str">
            <v>Maison_individuelle</v>
          </cell>
          <cell r="P25" t="str">
            <v>non</v>
          </cell>
          <cell r="Q25" t="str">
            <v>MI 1910 R+3 combles aménagées - Achat 2015 - 3 pers. 
Pb combles aménagées froid hiver, chaud été, humidité =&gt; mauvaise circulation de l'air - une VMR sdb
 réisolation toiture : 2nd rdv pris pour janvier (devis et aides) - finalement annulé</v>
          </cell>
        </row>
        <row r="26">
          <cell r="A26">
            <v>43805</v>
          </cell>
          <cell r="B26" t="str">
            <v>Décembre</v>
          </cell>
          <cell r="C26">
            <v>2019</v>
          </cell>
          <cell r="D26" t="str">
            <v>MVE</v>
          </cell>
          <cell r="E26" t="str">
            <v>MARTIN</v>
          </cell>
          <cell r="G26">
            <v>94410</v>
          </cell>
          <cell r="H26" t="str">
            <v>Saint-Maurice</v>
          </cell>
          <cell r="I26" t="str">
            <v>PRIS EIE</v>
          </cell>
          <cell r="J26" t="str">
            <v>Premier RDV</v>
          </cell>
          <cell r="K26" t="str">
            <v>Non éligibles ANAH</v>
          </cell>
          <cell r="L26" t="str">
            <v>m.martin.raymond@gmail.com</v>
          </cell>
          <cell r="M26" t="str">
            <v>06 14 19 81 79</v>
          </cell>
          <cell r="N26" t="str">
            <v>Propriétaire bailleur</v>
          </cell>
          <cell r="O26" t="str">
            <v>Collectif</v>
          </cell>
          <cell r="P26" t="str">
            <v>non</v>
          </cell>
          <cell r="Q26" t="str">
            <v>Propriétaire unique immeuble début xxème toiture Zinc 2 pans
Envisage pose PV photovolt pour revente total - besoin connaître potentiel production annuel - vérification préalable PLU/urba</v>
          </cell>
        </row>
        <row r="27">
          <cell r="A27">
            <v>43812</v>
          </cell>
          <cell r="B27" t="str">
            <v>Décembre</v>
          </cell>
          <cell r="C27">
            <v>2019</v>
          </cell>
          <cell r="D27" t="str">
            <v>MVE</v>
          </cell>
          <cell r="E27" t="str">
            <v>TALLET</v>
          </cell>
          <cell r="F27" t="str">
            <v>17 Allée du square</v>
          </cell>
          <cell r="G27">
            <v>94170</v>
          </cell>
          <cell r="H27" t="str">
            <v>Le Perreux-sur-Marne</v>
          </cell>
          <cell r="I27" t="str">
            <v>PRIS EIE</v>
          </cell>
          <cell r="J27" t="str">
            <v>Premier RDV</v>
          </cell>
          <cell r="K27" t="str">
            <v>Non éligibles ANAH</v>
          </cell>
          <cell r="L27" t="str">
            <v>-</v>
          </cell>
          <cell r="M27" t="str">
            <v>01 48 72 19 60</v>
          </cell>
          <cell r="N27" t="str">
            <v>Propriétaire occupant</v>
          </cell>
          <cell r="O27" t="str">
            <v>Maison_individuelle</v>
          </cell>
          <cell r="P27" t="str">
            <v>non</v>
          </cell>
          <cell r="Q27" t="str">
            <v>Couple retraité - grande maison 150m² étage entièrement sous ramapant 
Conso gaz annuel: 38 632kWh Ch/ECS/Cuisson sur 6 mois froid - absence période printemps-été
Consigne à 22°C mais maison très découpée faiblement isolée inclus véranda - besoin étude plus détaillé dialogie? audit BE ?</v>
          </cell>
        </row>
        <row r="28">
          <cell r="A28">
            <v>43833</v>
          </cell>
          <cell r="B28" t="str">
            <v>Janvier</v>
          </cell>
          <cell r="C28">
            <v>2020</v>
          </cell>
          <cell r="D28" t="str">
            <v>MVE</v>
          </cell>
          <cell r="E28" t="str">
            <v>CHAGNOLLAUD</v>
          </cell>
          <cell r="F28" t="str">
            <v>34 rue benjamin DELESSERT</v>
          </cell>
          <cell r="G28">
            <v>93500</v>
          </cell>
          <cell r="H28" t="str">
            <v>Pantin</v>
          </cell>
          <cell r="I28" t="str">
            <v>PRIS EIE</v>
          </cell>
          <cell r="J28" t="str">
            <v>Premier RDV</v>
          </cell>
          <cell r="K28" t="str">
            <v>Non éligibles ANAH</v>
          </cell>
          <cell r="L28" t="str">
            <v>remy.chagnollaud@gmail.com</v>
          </cell>
          <cell r="M28" t="str">
            <v>06 63 42 27 77</v>
          </cell>
          <cell r="N28" t="str">
            <v>Propriétaire occupant</v>
          </cell>
          <cell r="O28" t="str">
            <v>Maison_individuelle</v>
          </cell>
          <cell r="P28" t="str">
            <v>non</v>
          </cell>
          <cell r="Q28" t="str">
            <v>Projet de sur élevation de sa MI de 60m2 à terme sera à 85 m2- 
ITE facades + changement de fenêtres. Réflechit sur l'installation de panneaux photovoltaiques</v>
          </cell>
        </row>
        <row r="29">
          <cell r="A29">
            <v>43840</v>
          </cell>
          <cell r="B29" t="str">
            <v>Janvier</v>
          </cell>
          <cell r="C29">
            <v>2020</v>
          </cell>
          <cell r="D29" t="str">
            <v>MVE</v>
          </cell>
          <cell r="E29" t="str">
            <v>PRAULT</v>
          </cell>
          <cell r="F29" t="str">
            <v>120 Quai de l'Artois</v>
          </cell>
          <cell r="G29">
            <v>94170</v>
          </cell>
          <cell r="H29" t="str">
            <v>Le Perreux-sur-Marne</v>
          </cell>
          <cell r="I29" t="str">
            <v>PRIS EIE</v>
          </cell>
          <cell r="J29" t="str">
            <v>Premier RDV</v>
          </cell>
          <cell r="K29" t="str">
            <v>Non éligibles ANAH</v>
          </cell>
          <cell r="L29" t="str">
            <v>guillaumeprault@gmail.com</v>
          </cell>
          <cell r="M29" t="str">
            <v>06 80 12 51 82</v>
          </cell>
          <cell r="N29" t="str">
            <v>Propriétaire occupant</v>
          </cell>
          <cell r="O29" t="str">
            <v>Maison_individuelle</v>
          </cell>
          <cell r="P29" t="str">
            <v>non</v>
          </cell>
          <cell r="Q29" t="str">
            <v>Vieux bâtiment 1910 R+2 usage artisanal,rénové et rendu habitable ~année 60. Achat sept 2019 grosse réno globale dépose de tous les planchers et cloisons. Division en 2 partie mais reste en 1 lot. 
Accompagnement AMO, archi, BET (audit énergétique existant), BE structure.
Infos isolation nouveau système de chauffage/VMC.  Besoin insonorisation.</v>
          </cell>
        </row>
        <row r="30">
          <cell r="A30">
            <v>43840</v>
          </cell>
          <cell r="B30" t="str">
            <v>Janvier</v>
          </cell>
          <cell r="C30">
            <v>2020</v>
          </cell>
          <cell r="D30" t="str">
            <v>MVE</v>
          </cell>
          <cell r="E30" t="str">
            <v>FOURNIER</v>
          </cell>
          <cell r="F30" t="str">
            <v>2 rue du Lieutenant André Ohresser</v>
          </cell>
          <cell r="G30">
            <v>94500</v>
          </cell>
          <cell r="H30" t="str">
            <v>Champigny-sur-Marne</v>
          </cell>
          <cell r="I30" t="str">
            <v>PRIS EIE</v>
          </cell>
          <cell r="J30" t="str">
            <v>Premier RDV</v>
          </cell>
          <cell r="K30" t="str">
            <v>Non éligibles ANAH</v>
          </cell>
          <cell r="L30" t="str">
            <v>vanoche77@hotmail.fr</v>
          </cell>
          <cell r="M30" t="str">
            <v>06 23 84 39 36</v>
          </cell>
          <cell r="N30" t="str">
            <v>Propriétaire occupant</v>
          </cell>
          <cell r="O30" t="str">
            <v>Maison_individuelle</v>
          </cell>
          <cell r="P30" t="str">
            <v>non</v>
          </cell>
          <cell r="Q30" t="str">
            <v>Achat 2015 - Voudrait conseils pour prioriser ses travaux - sensation de froid.
 Projet d'isolation des combles, et sous sol pe pôele à bois (alors que radiateurs à eau ok). Portes d'entrée et cuisine. Non éligible Anah</v>
          </cell>
        </row>
        <row r="31">
          <cell r="A31">
            <v>43840</v>
          </cell>
          <cell r="B31" t="str">
            <v>Janvier</v>
          </cell>
          <cell r="C31">
            <v>2020</v>
          </cell>
          <cell r="D31" t="str">
            <v>MVE</v>
          </cell>
          <cell r="E31" t="str">
            <v>LEVAISQUE</v>
          </cell>
          <cell r="F31" t="str">
            <v>11 villa Lagneau</v>
          </cell>
          <cell r="G31">
            <v>94100</v>
          </cell>
          <cell r="H31" t="str">
            <v>Saint-Maur-des-Fossés</v>
          </cell>
          <cell r="I31" t="str">
            <v>PRIS EIE</v>
          </cell>
          <cell r="J31" t="str">
            <v>Premier RDV</v>
          </cell>
          <cell r="K31" t="str">
            <v>Non éligibles ANAH</v>
          </cell>
          <cell r="L31" t="str">
            <v>radigochan@gmail.com</v>
          </cell>
          <cell r="M31" t="str">
            <v>06 85 72 01 04</v>
          </cell>
          <cell r="N31" t="str">
            <v>Propriétaire occupant</v>
          </cell>
          <cell r="O31" t="str">
            <v>Maison_individuelle</v>
          </cell>
          <cell r="P31" t="str">
            <v>non</v>
          </cell>
          <cell r="Q31" t="str">
            <v>Réno globale: MI 190m² ss aménagé RDC R+1 - pb étanchéité toiture terrasse envisage changement pour charpente
Souhaite Isoler (toit, mur), changer chaudière fioul bien que performant, installation VMC
Envisage installation PV</v>
          </cell>
        </row>
        <row r="32">
          <cell r="A32">
            <v>43846</v>
          </cell>
          <cell r="B32" t="str">
            <v>Janvier</v>
          </cell>
          <cell r="C32">
            <v>2020</v>
          </cell>
          <cell r="D32" t="str">
            <v>MVE</v>
          </cell>
          <cell r="E32" t="str">
            <v>LESBROS</v>
          </cell>
          <cell r="F32" t="str">
            <v>98 avenue de Sully</v>
          </cell>
          <cell r="G32">
            <v>93190</v>
          </cell>
          <cell r="H32" t="str">
            <v>Livry-Gargan</v>
          </cell>
          <cell r="I32" t="str">
            <v>PRIS EIE</v>
          </cell>
          <cell r="J32" t="str">
            <v>Premier RDV</v>
          </cell>
          <cell r="K32" t="str">
            <v>Non éligibles ANAH</v>
          </cell>
          <cell r="L32" t="str">
            <v>jeanlouis.lesbros@gmail.com</v>
          </cell>
          <cell r="M32" t="str">
            <v>06 17 88 10 87</v>
          </cell>
          <cell r="N32" t="str">
            <v>Propriétaire occupant</v>
          </cell>
          <cell r="O32" t="str">
            <v>Maison_individuelle</v>
          </cell>
          <cell r="P32" t="str">
            <v>non</v>
          </cell>
          <cell r="Q32" t="str">
            <v>Déja fait réfection des 2 toitures et isolation,  ITI PSE 50mm sur certains murs fait par lui même.
Fenêtres changée DV - porte d'origine déperditive
Conseils pour l'ITE: produits, prix, point de vigilance (ventilation), aides financières
Info PAC / PV thermique à aborder dans prochain RDV le 20/03/20</v>
          </cell>
        </row>
        <row r="33">
          <cell r="A33">
            <v>43846</v>
          </cell>
          <cell r="B33" t="str">
            <v>Janvier</v>
          </cell>
          <cell r="C33">
            <v>2020</v>
          </cell>
          <cell r="D33" t="str">
            <v>MVE</v>
          </cell>
          <cell r="E33" t="str">
            <v>COPRO
DUPUIS</v>
          </cell>
          <cell r="F33" t="str">
            <v>3 rue lavoisier</v>
          </cell>
          <cell r="G33">
            <v>93500</v>
          </cell>
          <cell r="H33" t="str">
            <v>Pantin</v>
          </cell>
          <cell r="I33" t="str">
            <v>PRIS EIE</v>
          </cell>
          <cell r="J33" t="str">
            <v>Premier RDV</v>
          </cell>
          <cell r="K33" t="str">
            <v>Non éligibles ANAH</v>
          </cell>
          <cell r="L33" t="str">
            <v>etiennedupuis_8@hotmail.com</v>
          </cell>
          <cell r="M33" t="str">
            <v>06 84 97 50 82</v>
          </cell>
          <cell r="N33" t="str">
            <v>Propriétaire occupant</v>
          </cell>
          <cell r="O33" t="str">
            <v>Collectif</v>
          </cell>
          <cell r="P33" t="str">
            <v>oui</v>
          </cell>
          <cell r="Q33" t="str">
            <v>Copro déja isolée ITE et sous-sol
Question Pertinence projet PV sur toitures immeubles
Démarche, type d'installation (vente totale ou surplus) , points vigilance (réfection toiture préalable? isolation?)</v>
          </cell>
        </row>
        <row r="34">
          <cell r="A34">
            <v>43847</v>
          </cell>
          <cell r="B34" t="str">
            <v>Janvier</v>
          </cell>
          <cell r="C34">
            <v>2020</v>
          </cell>
          <cell r="D34" t="str">
            <v>MVE</v>
          </cell>
          <cell r="E34" t="str">
            <v>PUDLOWSKI</v>
          </cell>
          <cell r="F34" t="str">
            <v>6 rue du Midi</v>
          </cell>
          <cell r="G34">
            <v>94300</v>
          </cell>
          <cell r="H34" t="str">
            <v>Vincennes</v>
          </cell>
          <cell r="I34" t="str">
            <v>PRIS EIE</v>
          </cell>
          <cell r="J34" t="str">
            <v>Premier RDV</v>
          </cell>
          <cell r="K34" t="str">
            <v>Très Modestes</v>
          </cell>
          <cell r="L34" t="str">
            <v>mimipudlo@yahoo.com</v>
          </cell>
          <cell r="M34" t="str">
            <v>06 50 82 80 93</v>
          </cell>
          <cell r="N34" t="str">
            <v>Propriétaire occupant</v>
          </cell>
          <cell r="O34" t="str">
            <v>Collectif</v>
          </cell>
          <cell r="P34" t="str">
            <v>non</v>
          </cell>
          <cell r="Q34" t="str">
            <v>Appartement dernier étage type terrasson brisis - toiture terrasse va être renové.
Logement très froid pas isolé, le système de chauffage collectif fonctionne mais mauvais dimensionnement seul 2 radiateurs dans tous l'appartement et besoin d'appoint électrique. Fenêtres DV mais passage d'air. Projet ITI sur certains murs intérieurs.</v>
          </cell>
        </row>
        <row r="35">
          <cell r="A35">
            <v>43854</v>
          </cell>
          <cell r="B35" t="str">
            <v>Janvier</v>
          </cell>
          <cell r="C35">
            <v>2020</v>
          </cell>
          <cell r="D35" t="str">
            <v>MVE</v>
          </cell>
          <cell r="E35" t="str">
            <v>BOISDRON</v>
          </cell>
          <cell r="F35" t="str">
            <v>17 ter rue Yvonne</v>
          </cell>
          <cell r="G35">
            <v>93140</v>
          </cell>
          <cell r="H35" t="str">
            <v>Bondy</v>
          </cell>
          <cell r="I35" t="str">
            <v>PRIS EIE</v>
          </cell>
          <cell r="J35" t="str">
            <v>Premier RDV</v>
          </cell>
          <cell r="K35" t="str">
            <v>Non éligibles ANAH</v>
          </cell>
          <cell r="L35" t="str">
            <v>vincent.boisdron@hotmail.fr</v>
          </cell>
          <cell r="M35" t="str">
            <v>06 32 38 88 71</v>
          </cell>
          <cell r="N35" t="str">
            <v>Propriétaire occupant</v>
          </cell>
          <cell r="O35" t="str">
            <v>Maison_individuelle</v>
          </cell>
          <cell r="P35" t="str">
            <v>non</v>
          </cell>
          <cell r="Q35" t="str">
            <v>Souhaite isoler maison mitoyenne par extérieur - Pb panne chaudière réglé - 1 facade sur parcelle voisine nécessite accord
En contact avec entrepreneur et artisan de confiance - Travaux souhaité  ~ juin - Aides CITE + CEE</v>
          </cell>
        </row>
        <row r="36">
          <cell r="A36">
            <v>43854</v>
          </cell>
          <cell r="B36" t="str">
            <v>Janvier</v>
          </cell>
          <cell r="C36">
            <v>2020</v>
          </cell>
          <cell r="D36" t="str">
            <v>MVE</v>
          </cell>
          <cell r="E36" t="str">
            <v>VARET</v>
          </cell>
          <cell r="F36" t="str">
            <v>COPRO
43 boulevard de l'Ouest</v>
          </cell>
          <cell r="G36">
            <v>93340</v>
          </cell>
          <cell r="H36" t="str">
            <v>Le Raincy</v>
          </cell>
          <cell r="I36" t="str">
            <v>PRIS EIE</v>
          </cell>
          <cell r="J36" t="str">
            <v>Premier RDV</v>
          </cell>
          <cell r="K36" t="str">
            <v>Non éligibles ANAH</v>
          </cell>
          <cell r="L36" t="str">
            <v>svaret@yahoo.com</v>
          </cell>
          <cell r="M36" t="str">
            <v>06 56 73 41 36</v>
          </cell>
          <cell r="N36" t="str">
            <v>Propriétaire bailleur</v>
          </cell>
          <cell r="O36" t="str">
            <v>Collectif</v>
          </cell>
          <cell r="P36" t="str">
            <v>oui</v>
          </cell>
          <cell r="Q36" t="str">
            <v>20 copropriétaires mais seulement 8 résidentiels - 7 PB 1 PO - 12 propriétaires de box - PB achat appart 2009 sous sol aménagé + rdc
Souhait isoler et installer ventilation  - Refus en AG sortie extraction privative sur facade/ grille bouchée par ravalement 2008
Pb avec syndic inactif: charges élevées, blocage travaux, pb dégradations: dégats eaux (canalisation , gouttière) =&gt; voter DTG en AG</v>
          </cell>
        </row>
        <row r="37">
          <cell r="A37">
            <v>43868</v>
          </cell>
          <cell r="B37" t="str">
            <v>Février</v>
          </cell>
          <cell r="C37">
            <v>2020</v>
          </cell>
          <cell r="D37" t="str">
            <v>MVE</v>
          </cell>
          <cell r="E37" t="str">
            <v>BRAS</v>
          </cell>
          <cell r="F37" t="str">
            <v>5 avenue Palissy</v>
          </cell>
          <cell r="G37">
            <v>94340</v>
          </cell>
          <cell r="H37" t="str">
            <v>Joinville-le-Pont</v>
          </cell>
          <cell r="I37" t="str">
            <v>PRIS EIE</v>
          </cell>
          <cell r="J37" t="str">
            <v>RDV non présenté le jour J</v>
          </cell>
          <cell r="K37" t="str">
            <v>Non éligibles ANAH</v>
          </cell>
          <cell r="L37" t="str">
            <v>stephane.bras@rentokil-initial.com</v>
          </cell>
          <cell r="M37" t="str">
            <v>06 14 55 73 76</v>
          </cell>
          <cell r="N37" t="str">
            <v>Propriétaire occupant</v>
          </cell>
          <cell r="O37" t="str">
            <v>Maison_individuelle</v>
          </cell>
          <cell r="P37" t="str">
            <v>non</v>
          </cell>
          <cell r="Q37" t="str">
            <v>Absent au RDV</v>
          </cell>
        </row>
        <row r="38">
          <cell r="A38">
            <v>43868</v>
          </cell>
          <cell r="B38" t="str">
            <v>Février</v>
          </cell>
          <cell r="C38">
            <v>2020</v>
          </cell>
          <cell r="D38" t="str">
            <v>MVE</v>
          </cell>
          <cell r="E38" t="str">
            <v>GUEUSQUIN</v>
          </cell>
          <cell r="F38" t="str">
            <v>12 rue de la liberté</v>
          </cell>
          <cell r="G38">
            <v>94340</v>
          </cell>
          <cell r="H38" t="str">
            <v>Joinville-le-Pont</v>
          </cell>
          <cell r="I38" t="str">
            <v>PRIS EIE</v>
          </cell>
          <cell r="J38" t="str">
            <v>Premier RDV</v>
          </cell>
          <cell r="K38" t="str">
            <v>Non éligibles ANAH</v>
          </cell>
          <cell r="L38" t="str">
            <v>marie-laure.gueusquin@wanadoo.fr</v>
          </cell>
          <cell r="M38" t="str">
            <v>06 21 20 33 76</v>
          </cell>
          <cell r="N38" t="str">
            <v>Propriétaire occupant</v>
          </cell>
          <cell r="O38" t="str">
            <v>Maison_individuelle</v>
          </cell>
          <cell r="P38" t="str">
            <v>non</v>
          </cell>
          <cell r="Q38" t="str">
            <v>Logement froid très déperditif - Toiture isolée 10cm sous rampant ~15 ans /Souhait isoler dans plancher comble 5cm
ITI non souhaité car intérieur bas relief / ITE a considérer malgré facade brique esthétique et périmètre bâtiment historique 
Changement fenêtres - aides / orientée vers CAUE 94</v>
          </cell>
        </row>
        <row r="39">
          <cell r="A39">
            <v>43868</v>
          </cell>
          <cell r="B39" t="str">
            <v>Février</v>
          </cell>
          <cell r="C39">
            <v>2020</v>
          </cell>
          <cell r="D39" t="str">
            <v>MVE</v>
          </cell>
          <cell r="E39" t="str">
            <v>DA FONSECA</v>
          </cell>
          <cell r="F39" t="str">
            <v>22 allée Ferret Briet</v>
          </cell>
          <cell r="G39">
            <v>94100</v>
          </cell>
          <cell r="H39" t="str">
            <v>Saint-Maur-des-Fossés</v>
          </cell>
          <cell r="I39" t="str">
            <v>PRIS EIE</v>
          </cell>
          <cell r="J39" t="str">
            <v>Premier RDV</v>
          </cell>
          <cell r="K39" t="str">
            <v>Non éligibles ANAH</v>
          </cell>
          <cell r="L39" t="str">
            <v>pas d'internet</v>
          </cell>
          <cell r="M39" t="str">
            <v>06 09 32 27 04</v>
          </cell>
          <cell r="N39" t="str">
            <v>Propriétaire occupant</v>
          </cell>
          <cell r="O39" t="str">
            <v>Maison_individuelle</v>
          </cell>
          <cell r="P39" t="str">
            <v>non</v>
          </cell>
          <cell r="Q39" t="str">
            <v>Travaux déja réalisés chaudière fioul changée début février - devis signé janvier 2020.
Pas de démarche CEE - Revenu 2019 supérieur ANAH mais 2020 sera inférieur (retraite).
Normalement aide CITE 2020 (intermédiare) à déclarer en 2021- mais y aura-t-il un problème si le revenu déclaré en 2021 est &lt;seuil ANAH?</v>
          </cell>
        </row>
        <row r="40">
          <cell r="A40">
            <v>43875</v>
          </cell>
          <cell r="B40" t="str">
            <v>Février</v>
          </cell>
          <cell r="C40">
            <v>2020</v>
          </cell>
          <cell r="D40" t="str">
            <v>MVE</v>
          </cell>
          <cell r="E40" t="str">
            <v xml:space="preserve">PASETTO </v>
          </cell>
          <cell r="F40" t="str">
            <v>298 boulevard Théophile Sueur</v>
          </cell>
          <cell r="G40">
            <v>93100</v>
          </cell>
          <cell r="H40" t="str">
            <v>Montreuil</v>
          </cell>
          <cell r="I40" t="str">
            <v>PRIS EIE</v>
          </cell>
          <cell r="J40" t="str">
            <v>Premier RDV</v>
          </cell>
          <cell r="K40" t="str">
            <v>Très Modestes</v>
          </cell>
          <cell r="L40" t="str">
            <v>courrierlorenzo@gmail.com</v>
          </cell>
          <cell r="M40" t="str">
            <v>06 09 46 15 96</v>
          </cell>
          <cell r="N40" t="str">
            <v>Propriétaire occupant</v>
          </cell>
          <cell r="O40" t="str">
            <v>Maison_individuelle</v>
          </cell>
          <cell r="P40" t="str">
            <v>non</v>
          </cell>
          <cell r="Q40" t="str">
            <v>M. PASETTO pour ses parents retraités - éligibles ANAH - changement chaudières - étude devis - aides financières</v>
          </cell>
        </row>
        <row r="41">
          <cell r="A41">
            <v>43875</v>
          </cell>
          <cell r="B41" t="str">
            <v>Février</v>
          </cell>
          <cell r="C41">
            <v>2020</v>
          </cell>
          <cell r="D41" t="str">
            <v>MVE</v>
          </cell>
          <cell r="E41" t="str">
            <v>MELLIER</v>
          </cell>
          <cell r="F41" t="str">
            <v>20 bis rue Silvestri</v>
          </cell>
          <cell r="G41">
            <v>94300</v>
          </cell>
          <cell r="H41" t="str">
            <v>Montreuil</v>
          </cell>
          <cell r="I41" t="str">
            <v>PRIS EIE</v>
          </cell>
          <cell r="J41" t="str">
            <v>Premier RDV</v>
          </cell>
          <cell r="K41" t="str">
            <v>Non éligibles ANAH</v>
          </cell>
          <cell r="L41" t="str">
            <v xml:space="preserve">mellier@free.fr </v>
          </cell>
          <cell r="M41" t="str">
            <v xml:space="preserve">06 83 80 66 43 </v>
          </cell>
          <cell r="N41" t="str">
            <v>Propriétaire occupant</v>
          </cell>
          <cell r="O41" t="str">
            <v>Collectif</v>
          </cell>
          <cell r="P41" t="str">
            <v>non</v>
          </cell>
          <cell r="Q41" t="str">
            <v>Démarche achat partie comble  en PC copropriété - Aménagement intérieur comble: isolation rampants + murs  + ventilation - Aides financières</v>
          </cell>
        </row>
        <row r="42">
          <cell r="A42">
            <v>43882</v>
          </cell>
          <cell r="B42" t="str">
            <v>Février</v>
          </cell>
          <cell r="C42">
            <v>2020</v>
          </cell>
          <cell r="D42" t="str">
            <v>MVE</v>
          </cell>
          <cell r="E42" t="str">
            <v>PRAULT</v>
          </cell>
          <cell r="F42" t="str">
            <v>120 Quai de l'Artois</v>
          </cell>
          <cell r="G42">
            <v>94170</v>
          </cell>
          <cell r="H42" t="str">
            <v>Le Perreux-sur-Marne</v>
          </cell>
          <cell r="I42" t="str">
            <v>PRIS EIE</v>
          </cell>
          <cell r="J42" t="str">
            <v>Suivi (2ème RDV)</v>
          </cell>
          <cell r="K42" t="str">
            <v>Non éligibles ANAH</v>
          </cell>
          <cell r="L42" t="str">
            <v>guillaumeprault@gmail.com</v>
          </cell>
          <cell r="M42" t="str">
            <v xml:space="preserve">06 80 12 51 82 </v>
          </cell>
          <cell r="N42" t="str">
            <v>Propriétaire occupant</v>
          </cell>
          <cell r="O42" t="str">
            <v>Collectif</v>
          </cell>
          <cell r="P42" t="str">
            <v>non</v>
          </cell>
          <cell r="Q42" t="str">
            <v>Projet défini dans les grandes lignes - Information matériaux isolants - Aides financières</v>
          </cell>
        </row>
        <row r="43">
          <cell r="A43">
            <v>43882</v>
          </cell>
          <cell r="B43" t="str">
            <v>Février</v>
          </cell>
          <cell r="C43">
            <v>2020</v>
          </cell>
          <cell r="D43" t="str">
            <v>MVE</v>
          </cell>
          <cell r="E43" t="str">
            <v>MAURIN</v>
          </cell>
          <cell r="F43" t="str">
            <v>41 rue de la Côte des Chênes</v>
          </cell>
          <cell r="G43">
            <v>93110</v>
          </cell>
          <cell r="H43" t="str">
            <v>Rosny-sous-Bois</v>
          </cell>
          <cell r="I43" t="str">
            <v>PRIS EIE</v>
          </cell>
          <cell r="J43" t="str">
            <v>Premier RDV</v>
          </cell>
          <cell r="K43" t="str">
            <v>Non éligibles ANAH</v>
          </cell>
          <cell r="L43" t="str">
            <v xml:space="preserve">samantha.maurin@gmail.com </v>
          </cell>
          <cell r="M43" t="str">
            <v>06 42 43 99 77</v>
          </cell>
          <cell r="N43" t="str">
            <v>Propriétaire occupant</v>
          </cell>
          <cell r="O43" t="str">
            <v>Maison_individuelle</v>
          </cell>
          <cell r="P43" t="str">
            <v>non</v>
          </cell>
          <cell r="Q43" t="str">
            <v>Projet: acquisition d'une vieille maison avec un projet de rénovation énergétique et aménagements des combles.
hésite entre surélévation et ouverture partie plancher bas type mezzanine 
Rénovation de véranda: changment plafond verrière ou toiture en dure - aides financières</v>
          </cell>
        </row>
        <row r="44">
          <cell r="A44">
            <v>43881</v>
          </cell>
          <cell r="B44" t="str">
            <v>Février</v>
          </cell>
          <cell r="C44">
            <v>2020</v>
          </cell>
          <cell r="D44" t="str">
            <v>MVE</v>
          </cell>
          <cell r="E44" t="str">
            <v xml:space="preserve">
COPRO
GUERCHONOVITCH</v>
          </cell>
          <cell r="F44" t="str">
            <v>COPRO
3 rue Plisson
COPRO
6 rue Verdun</v>
          </cell>
          <cell r="G44">
            <v>94160</v>
          </cell>
          <cell r="H44" t="str">
            <v>Saint-Mandé</v>
          </cell>
          <cell r="I44" t="str">
            <v>PRIS EIE</v>
          </cell>
          <cell r="J44" t="str">
            <v>Premier RDV</v>
          </cell>
          <cell r="K44" t="str">
            <v>Non éligibles ANAH</v>
          </cell>
          <cell r="L44" t="str">
            <v xml:space="preserve">bguercho@gmail.com </v>
          </cell>
          <cell r="M44" t="str">
            <v>06 71 00 26 26</v>
          </cell>
          <cell r="N44" t="str">
            <v>Propriétaire occupant</v>
          </cell>
          <cell r="O44" t="str">
            <v>Collectif</v>
          </cell>
          <cell r="P44" t="str">
            <v>oui</v>
          </cell>
          <cell r="Q44" t="str">
            <v>2 projet: 1/ isolation toiture PC immeuble (PO) 2/ changement chaudière fioul 1987 pour condensation gaz (PB)
Demande  aides financières pour changement chaudière fioul 1987 pour condensation gaz - besoin urgent départ incendie et intervention pompiers / + présence d'amiante joints chaudière et cheminée
Sollicitation directe des devis chaudières par lui sans dossier de consultation - 2 devis envoyés dans la convocation d'AG du 5 mars 2020</v>
          </cell>
        </row>
        <row r="45">
          <cell r="A45">
            <v>43887</v>
          </cell>
          <cell r="B45" t="str">
            <v>Février</v>
          </cell>
          <cell r="C45">
            <v>2020</v>
          </cell>
          <cell r="D45" t="str">
            <v>MVE</v>
          </cell>
          <cell r="E45" t="str">
            <v>HAKIMI</v>
          </cell>
          <cell r="F45" t="str">
            <v>62 rue Washigton</v>
          </cell>
          <cell r="G45">
            <v>94100</v>
          </cell>
          <cell r="H45" t="str">
            <v>Saint-Maur-des-Fossés</v>
          </cell>
          <cell r="I45" t="str">
            <v>PRIS EIE</v>
          </cell>
          <cell r="J45" t="str">
            <v>Premier RDV</v>
          </cell>
          <cell r="K45" t="str">
            <v>Modestes</v>
          </cell>
          <cell r="L45" t="str">
            <v>sami.hakimi@free.fr</v>
          </cell>
          <cell r="M45" t="str">
            <v>06 77 94 27 68</v>
          </cell>
          <cell r="N45" t="str">
            <v>Propriétaire occupant</v>
          </cell>
          <cell r="O45" t="str">
            <v>Maison_individuelle</v>
          </cell>
          <cell r="P45" t="str">
            <v>non</v>
          </cell>
          <cell r="Q45" t="str">
            <v>Maison bordure RER - achat prévu mai 2020
Souhaite réisoler toiture, murs par ext si possible, int sinon, changement fenêtres, aménagement cave
Importance isolation phonique - aides dans 2nd RDV</v>
          </cell>
        </row>
        <row r="46">
          <cell r="A46">
            <v>43887</v>
          </cell>
          <cell r="B46" t="str">
            <v>Février</v>
          </cell>
          <cell r="C46">
            <v>2020</v>
          </cell>
          <cell r="D46" t="str">
            <v>MVE</v>
          </cell>
          <cell r="E46" t="str">
            <v>HUET</v>
          </cell>
          <cell r="F46" t="str">
            <v>11 rue chevalier</v>
          </cell>
          <cell r="G46">
            <v>94100</v>
          </cell>
          <cell r="H46" t="str">
            <v>Saint-Maur-des-Fossés</v>
          </cell>
          <cell r="I46" t="str">
            <v>PRIS EIE</v>
          </cell>
          <cell r="J46" t="str">
            <v>Premier RDV</v>
          </cell>
          <cell r="K46" t="str">
            <v>Très Modestes</v>
          </cell>
          <cell r="L46" t="str">
            <v>huet.marie@yahoo.fr</v>
          </cell>
          <cell r="M46" t="str">
            <v>06 21 07 46 29</v>
          </cell>
          <cell r="N46" t="str">
            <v>Propriétaire occupant</v>
          </cell>
          <cell r="O46" t="str">
            <v>Collectif</v>
          </cell>
          <cell r="P46" t="str">
            <v>non</v>
          </cell>
          <cell r="Q46" t="str">
            <v>Montant fenêtres + volets ~15 k€
Simulation QuelleEnergie indiquant CEE + Anah HM sérénité sans préciser conditions gain 25%
Explication conditions accès - CEE + MPR</v>
          </cell>
        </row>
        <row r="47">
          <cell r="A47">
            <v>43887</v>
          </cell>
          <cell r="B47" t="str">
            <v>Février</v>
          </cell>
          <cell r="C47">
            <v>2020</v>
          </cell>
          <cell r="D47" t="str">
            <v>MVE</v>
          </cell>
          <cell r="E47" t="str">
            <v>BETTAYEB</v>
          </cell>
          <cell r="G47">
            <v>94100</v>
          </cell>
          <cell r="H47" t="str">
            <v>Saint-Maur-des-Fossés</v>
          </cell>
          <cell r="I47" t="str">
            <v>PRIS EIE</v>
          </cell>
          <cell r="J47" t="str">
            <v>RDV non présenté le jour J</v>
          </cell>
          <cell r="L47" t="str">
            <v>nazihabettayeb@yahoo.fr</v>
          </cell>
          <cell r="M47" t="str">
            <v>06 67 35 45 24</v>
          </cell>
          <cell r="N47" t="str">
            <v>Locataire</v>
          </cell>
          <cell r="O47" t="str">
            <v>Collectif</v>
          </cell>
          <cell r="P47" t="str">
            <v>non</v>
          </cell>
          <cell r="Q47" t="str">
            <v>RDV annulé le jour même - Factures de gaz très importantes 300€/bimensuel. 1 personne. 2 pièces</v>
          </cell>
        </row>
        <row r="48">
          <cell r="A48">
            <v>43892</v>
          </cell>
          <cell r="B48" t="str">
            <v>Mars</v>
          </cell>
          <cell r="C48">
            <v>2020</v>
          </cell>
          <cell r="D48" t="str">
            <v>MVE</v>
          </cell>
          <cell r="E48" t="str">
            <v xml:space="preserve">LEAL </v>
          </cell>
          <cell r="G48">
            <v>93370</v>
          </cell>
          <cell r="H48" t="str">
            <v>Montfermeil</v>
          </cell>
          <cell r="I48" t="str">
            <v>PRIS EIE</v>
          </cell>
          <cell r="J48" t="str">
            <v>Premier RDV</v>
          </cell>
          <cell r="L48" t="str">
            <v>leal.antonio.93@sfr.fr</v>
          </cell>
          <cell r="M48" t="str">
            <v xml:space="preserve">06 60 32 48 74
</v>
          </cell>
          <cell r="N48" t="str">
            <v>Propriétaire occupant</v>
          </cell>
          <cell r="O48" t="str">
            <v>Maison_individuelle</v>
          </cell>
          <cell r="P48" t="str">
            <v>non</v>
          </cell>
          <cell r="Q48" t="str">
            <v>Couple avec enfant ont acheté installation complète aérovoltaîque aout 2018 (PV, chauffage aérovolt, ballon thermo) à société France PAC environnement avec prêt Cetelem ( 34 k€ prestation de base mais crédit 364€/ mois + assurance 60€/mois 10ans soit  50 400€ total)
Arnaque donc: système aérovolt non installable donc clim à la place - pas de facture final mais convention de renoncement à procédure signé sept 2019. Contrat EDF en mars 2019 (Linky ) autoconso vente surplus - gain PV conso + vente estimé à 350€ annuel soit 9258€ à 20ans =&gt; réorienté vers PAD, ADIL voir avocat</v>
          </cell>
        </row>
        <row r="49">
          <cell r="A49">
            <v>43892</v>
          </cell>
          <cell r="B49" t="str">
            <v>Mars</v>
          </cell>
          <cell r="C49">
            <v>2020</v>
          </cell>
          <cell r="D49" t="str">
            <v>MVE</v>
          </cell>
          <cell r="E49" t="str">
            <v xml:space="preserve">GAVAZZI </v>
          </cell>
          <cell r="F49" t="str">
            <v>41 chemin de la cote du change</v>
          </cell>
          <cell r="G49">
            <v>93370</v>
          </cell>
          <cell r="H49" t="str">
            <v>Montfermeil</v>
          </cell>
          <cell r="I49" t="str">
            <v>PRIS EIE</v>
          </cell>
          <cell r="J49" t="str">
            <v>Premier RDV</v>
          </cell>
          <cell r="L49" t="str">
            <v>yanoux77@yahoo.fr</v>
          </cell>
          <cell r="M49" t="str">
            <v>06 09 68 06 12</v>
          </cell>
          <cell r="N49" t="str">
            <v>Propriétaire occupant</v>
          </cell>
          <cell r="O49" t="str">
            <v>Maison_individuelle</v>
          </cell>
          <cell r="P49" t="str">
            <v>non</v>
          </cell>
          <cell r="Q49" t="str">
            <v>MI neuve (2014) BBC, info système cellules PV, aérovoltaïque. 
Chauffage Poêle à granulé confortable et économe, ECS assuré par Ballon raccordé à 4m² panneau solaire thermique appoint Elec
Conseil: aérovoltaïque inadapté refuser les démarchages, installation PV envisageable</v>
          </cell>
        </row>
        <row r="50">
          <cell r="A50">
            <v>43892</v>
          </cell>
          <cell r="B50" t="str">
            <v>Mars</v>
          </cell>
          <cell r="C50">
            <v>2020</v>
          </cell>
          <cell r="D50" t="str">
            <v>MVE</v>
          </cell>
          <cell r="E50" t="str">
            <v xml:space="preserve">BIZET </v>
          </cell>
          <cell r="F50" t="str">
            <v>11 avenue des Troënes</v>
          </cell>
          <cell r="G50">
            <v>93370</v>
          </cell>
          <cell r="H50" t="str">
            <v>Montfermeil</v>
          </cell>
          <cell r="I50" t="str">
            <v>PRIS EIE</v>
          </cell>
          <cell r="J50" t="str">
            <v>Premier RDV</v>
          </cell>
          <cell r="K50" t="str">
            <v>Très Modestes</v>
          </cell>
          <cell r="L50" t="str">
            <v>danielle.bizet@numericable.com</v>
          </cell>
          <cell r="M50" t="str">
            <v>06.47.33.64.45</v>
          </cell>
          <cell r="N50" t="str">
            <v>Propriétaire occupant</v>
          </cell>
          <cell r="O50" t="str">
            <v>Maison_individuelle</v>
          </cell>
          <cell r="P50" t="str">
            <v>non</v>
          </cell>
          <cell r="Q50" t="str">
            <v xml:space="preserve">Dame seule éligible Anah - veur changer portes maison, garages et 2 fenêtres - aides CEE + MPR
information anah HM sérénité HM  + ITE
</v>
          </cell>
        </row>
        <row r="51">
          <cell r="A51">
            <v>43896</v>
          </cell>
          <cell r="B51" t="str">
            <v>Mars</v>
          </cell>
          <cell r="C51">
            <v>2020</v>
          </cell>
          <cell r="D51" t="str">
            <v>MVE</v>
          </cell>
          <cell r="E51" t="str">
            <v>LALIE</v>
          </cell>
          <cell r="F51" t="str">
            <v>9 rue jean mermoz</v>
          </cell>
          <cell r="G51">
            <v>94340</v>
          </cell>
          <cell r="H51" t="str">
            <v>Joinville-le-Pont</v>
          </cell>
          <cell r="I51" t="str">
            <v>PRIS EIE</v>
          </cell>
          <cell r="J51" t="str">
            <v>Premier RDV</v>
          </cell>
          <cell r="L51" t="str">
            <v>wilfriedlalie@gmail.com</v>
          </cell>
          <cell r="M51" t="str">
            <v>06 40 22 42 71</v>
          </cell>
          <cell r="N51" t="str">
            <v>Locataire</v>
          </cell>
          <cell r="O51" t="str">
            <v>Collectif</v>
          </cell>
          <cell r="P51" t="str">
            <v>non</v>
          </cell>
          <cell r="Q51" t="str">
            <v>Locataire - problème humidité 1 chambre enfant récemment créée - ventilation autres pièces ok
pas d'ouverture entrée d'air fenêtre ni détalonnage porte - à demander au proprio</v>
          </cell>
        </row>
        <row r="52">
          <cell r="A52">
            <v>43896</v>
          </cell>
          <cell r="B52" t="str">
            <v>Mars</v>
          </cell>
          <cell r="C52">
            <v>2020</v>
          </cell>
          <cell r="D52" t="str">
            <v>MVE</v>
          </cell>
          <cell r="E52" t="str">
            <v>MOINET</v>
          </cell>
          <cell r="F52" t="str">
            <v>3, bd du Maréchal Leclerc</v>
          </cell>
          <cell r="G52">
            <v>94340</v>
          </cell>
          <cell r="H52" t="str">
            <v>Joinville-le-Pont</v>
          </cell>
          <cell r="I52" t="str">
            <v>PRIS EIE</v>
          </cell>
          <cell r="J52" t="str">
            <v>Premier RDV</v>
          </cell>
          <cell r="K52" t="str">
            <v>Non éligibles ANAH</v>
          </cell>
          <cell r="L52" t="str">
            <v>lauramoinet@hotmail.fr</v>
          </cell>
          <cell r="M52" t="str">
            <v>06 61 32 85 63</v>
          </cell>
          <cell r="N52" t="str">
            <v>Propriétaire occupant</v>
          </cell>
          <cell r="O52" t="str">
            <v>Collectif</v>
          </cell>
          <cell r="P52" t="str">
            <v>non</v>
          </cell>
          <cell r="Q52" t="str">
            <v>refaire toutes les ouvertures (fenêtres) de l'appartement soit 4 grandes, 1 moyenne et 1 petite type salle de bain. 
Il n'y a pas de double vitrage actuellement - RFR élevé - aides CEE + EcoPTZ</v>
          </cell>
        </row>
        <row r="53">
          <cell r="A53">
            <v>43896</v>
          </cell>
          <cell r="B53" t="str">
            <v>Mars</v>
          </cell>
          <cell r="C53">
            <v>2020</v>
          </cell>
          <cell r="D53" t="str">
            <v>MVE</v>
          </cell>
          <cell r="E53" t="str">
            <v>AITKEN</v>
          </cell>
          <cell r="F53" t="str">
            <v>39 chemin de l’île Fanac</v>
          </cell>
          <cell r="G53">
            <v>94340</v>
          </cell>
          <cell r="H53" t="str">
            <v>Joinville-le-Pont</v>
          </cell>
          <cell r="I53" t="str">
            <v>PRIS EIE</v>
          </cell>
          <cell r="J53" t="str">
            <v>Premier RDV</v>
          </cell>
          <cell r="K53" t="str">
            <v>Modestes</v>
          </cell>
          <cell r="L53" t="str">
            <v>genevieveaitken@free.fr</v>
          </cell>
          <cell r="M53" t="str">
            <v>06 88 85 17 83</v>
          </cell>
          <cell r="N53" t="str">
            <v>Propriétaire occupant</v>
          </cell>
          <cell r="O53" t="str">
            <v>Maison_individuelle</v>
          </cell>
          <cell r="P53" t="str">
            <v>non</v>
          </cell>
          <cell r="Q53" t="str">
            <v>Grande Maison Meulière r+2 - Projet Isolation Combles aménagés et plancher bas- Chaudière centrale RDC/R+1 - tout élec R+2
R+2 Combles aménagées louées - compteur séparé facture électrique très élevée
Aides: indivision + locataires (impact revenus?)</v>
          </cell>
        </row>
        <row r="54">
          <cell r="A54">
            <v>43914</v>
          </cell>
          <cell r="B54" t="str">
            <v>Mars</v>
          </cell>
          <cell r="C54">
            <v>2020</v>
          </cell>
          <cell r="D54" t="str">
            <v>PIE Externe</v>
          </cell>
          <cell r="E54" t="str">
            <v>BERGAULT</v>
          </cell>
          <cell r="F54" t="str">
            <v>57 rue Louis Braille</v>
          </cell>
          <cell r="G54">
            <v>94100</v>
          </cell>
          <cell r="H54" t="str">
            <v>Saint-Maur-des-Fossés</v>
          </cell>
          <cell r="I54" t="str">
            <v>PRIS EIE</v>
          </cell>
          <cell r="J54" t="str">
            <v>RDV non présenté le jour J</v>
          </cell>
          <cell r="L54" t="str">
            <v>magaliebergault@gmail.com</v>
          </cell>
          <cell r="M54" t="str">
            <v>06 68 33 21 34</v>
          </cell>
          <cell r="N54" t="str">
            <v>Propriétaire occupant</v>
          </cell>
          <cell r="O54" t="str">
            <v>Maison_individuelle</v>
          </cell>
          <cell r="P54" t="str">
            <v>non</v>
          </cell>
          <cell r="Q54" t="str">
            <v>appel le 20/03: report RDV</v>
          </cell>
        </row>
        <row r="55">
          <cell r="A55">
            <v>43914</v>
          </cell>
          <cell r="B55" t="str">
            <v>Mars</v>
          </cell>
          <cell r="C55">
            <v>2020</v>
          </cell>
          <cell r="D55" t="str">
            <v>PIE Externe</v>
          </cell>
          <cell r="E55" t="str">
            <v>HECKMANN</v>
          </cell>
          <cell r="F55" t="str">
            <v>16 villa rue Ruspoli</v>
          </cell>
          <cell r="G55">
            <v>94100</v>
          </cell>
          <cell r="H55" t="str">
            <v>Saint-Maur-des-Fossés</v>
          </cell>
          <cell r="I55" t="str">
            <v>PRIS EIE</v>
          </cell>
          <cell r="J55" t="str">
            <v>Premier RDV</v>
          </cell>
          <cell r="K55" t="str">
            <v>Non éligibles ANAH</v>
          </cell>
          <cell r="L55" t="str">
            <v>md.heckmann@free.fr</v>
          </cell>
          <cell r="M55" t="str">
            <v>06 24 15 41 77</v>
          </cell>
          <cell r="N55" t="str">
            <v>Propriétaire occupant</v>
          </cell>
          <cell r="O55" t="str">
            <v>Maison_individuelle</v>
          </cell>
          <cell r="P55" t="str">
            <v>non</v>
          </cell>
          <cell r="Q55" t="str">
            <v>Travaux principaux: réfection complète toiture + isolation combe - 3 devis</v>
          </cell>
        </row>
        <row r="56">
          <cell r="A56">
            <v>43914</v>
          </cell>
          <cell r="B56" t="str">
            <v>Mars</v>
          </cell>
          <cell r="C56">
            <v>2020</v>
          </cell>
          <cell r="D56" t="str">
            <v>PIE Externe</v>
          </cell>
          <cell r="E56" t="str">
            <v>DROMER</v>
          </cell>
          <cell r="F56" t="str">
            <v>2bis avenue Anatole France</v>
          </cell>
          <cell r="G56">
            <v>94100</v>
          </cell>
          <cell r="H56" t="str">
            <v>Saint-Maur-des-Fossés</v>
          </cell>
          <cell r="I56" t="str">
            <v>PRIS EIE</v>
          </cell>
          <cell r="J56" t="str">
            <v>Premier RDV</v>
          </cell>
          <cell r="K56" t="str">
            <v>Non éligibles ANAH</v>
          </cell>
          <cell r="L56" t="str">
            <v>g.dromer@gmail.com</v>
          </cell>
          <cell r="M56" t="str">
            <v>06 72 22 31 72</v>
          </cell>
          <cell r="N56" t="str">
            <v>Propriétaire occupant</v>
          </cell>
          <cell r="O56" t="str">
            <v>Maison_individuelle</v>
          </cell>
          <cell r="P56" t="str">
            <v>non</v>
          </cell>
          <cell r="Q56" t="str">
            <v>"réno global engage architecte pour réorienter pièces maison + 1 scénario parmis 3 de travaux lourds Souhaite réaliser un max de travaux séparément: plancher bas (garage), fenêtres, envisage ITE - aides"</v>
          </cell>
        </row>
        <row r="57">
          <cell r="A57">
            <v>43927</v>
          </cell>
          <cell r="B57" t="str">
            <v>Avril</v>
          </cell>
          <cell r="C57">
            <v>2020</v>
          </cell>
          <cell r="D57" t="str">
            <v>MVE</v>
          </cell>
          <cell r="E57" t="str">
            <v>PAPADODIMA</v>
          </cell>
          <cell r="F57" t="str">
            <v>22 rue des haies-fleuries</v>
          </cell>
          <cell r="G57">
            <v>93100</v>
          </cell>
          <cell r="H57" t="str">
            <v>Montreuil</v>
          </cell>
          <cell r="I57" t="str">
            <v>PRIS EIE</v>
          </cell>
          <cell r="J57" t="str">
            <v>Premier RDV</v>
          </cell>
          <cell r="L57" t="str">
            <v>photini21@gmail.com</v>
          </cell>
          <cell r="N57" t="str">
            <v>Propriétaire bailleur</v>
          </cell>
          <cell r="O57" t="str">
            <v>Maison_individuelle</v>
          </cell>
          <cell r="P57" t="str">
            <v>non</v>
          </cell>
          <cell r="Q57" t="str">
            <v>PB en procès avec locataire qui ne paye plus depuis 2018. Locataire a fait réaliser un contrôle de de décence (CAF) avec Soliha. travaux prévu Elec, porte, chaudière. Eligibilité Aides financières à déterminer car résidente grecque - non imposée en France</v>
          </cell>
        </row>
        <row r="58">
          <cell r="A58">
            <v>43930</v>
          </cell>
          <cell r="B58" t="str">
            <v>Avril</v>
          </cell>
          <cell r="C58">
            <v>2020</v>
          </cell>
          <cell r="D58" t="str">
            <v>MVE</v>
          </cell>
          <cell r="E58" t="str">
            <v>LOUIS</v>
          </cell>
          <cell r="F58" t="str">
            <v>10 rue du Châlet</v>
          </cell>
          <cell r="G58">
            <v>93140</v>
          </cell>
          <cell r="H58" t="str">
            <v>Bondy</v>
          </cell>
          <cell r="I58" t="str">
            <v>PRIS EIE</v>
          </cell>
          <cell r="J58" t="str">
            <v>Premier RDV</v>
          </cell>
          <cell r="K58" t="str">
            <v>Non éligibles ANAH</v>
          </cell>
          <cell r="L58" t="str">
            <v>louis.harris@hotmail.fr</v>
          </cell>
          <cell r="M58" t="str">
            <v>06 64 79 27 30</v>
          </cell>
          <cell r="N58" t="str">
            <v>Propriétaire occupant</v>
          </cell>
          <cell r="O58" t="str">
            <v>Maison_individuelle</v>
          </cell>
          <cell r="P58" t="str">
            <v>non</v>
          </cell>
          <cell r="Q58" t="str">
            <v>"Famille 4 personens - Achat maison 2017 - Problème d'humidité + souhait ravaler murs + ITE VMC à remplacer et attention particulière sur ravalement des murs et métériau isolant car probabilité d'enduits étanches dommageable à la maçonnerie pierre ou brique - années 1940 - Evocation surchauffe estivale - ne souhaite pas revoir l'isolation de la toiture pour l'instant"</v>
          </cell>
        </row>
        <row r="59">
          <cell r="A59">
            <v>43931</v>
          </cell>
          <cell r="B59" t="str">
            <v>Avril</v>
          </cell>
          <cell r="C59">
            <v>2020</v>
          </cell>
          <cell r="D59" t="str">
            <v>MVE</v>
          </cell>
          <cell r="E59" t="str">
            <v>BOUZOUBA</v>
          </cell>
          <cell r="F59" t="str">
            <v>1 Allée Fernand Baudot</v>
          </cell>
          <cell r="G59">
            <v>93190</v>
          </cell>
          <cell r="H59" t="str">
            <v>Livry-Gargan</v>
          </cell>
          <cell r="I59" t="str">
            <v>PRIS EIE</v>
          </cell>
          <cell r="J59" t="str">
            <v>Premier RDV</v>
          </cell>
          <cell r="K59" t="str">
            <v>Très Modestes</v>
          </cell>
          <cell r="L59" t="str">
            <v>kazmoun03@gmail.com</v>
          </cell>
          <cell r="M59" t="str">
            <v>06 62 07 05 96</v>
          </cell>
          <cell r="N59" t="str">
            <v>Propriétaire occupant</v>
          </cell>
          <cell r="O59" t="str">
            <v>Maison_individuelle</v>
          </cell>
          <cell r="P59" t="str">
            <v>non</v>
          </cell>
          <cell r="Q59" t="str">
            <v>"M. BOUZOUBA pour la maison de sa compagne - 3 enfants TMO souhaite isoler ITE - manque état des lieux pour vérifier pertinence du projet info aides financières MPR et CEE"</v>
          </cell>
        </row>
        <row r="60">
          <cell r="A60">
            <v>43938</v>
          </cell>
          <cell r="B60" t="str">
            <v>Avril</v>
          </cell>
          <cell r="C60">
            <v>2020</v>
          </cell>
          <cell r="D60" t="str">
            <v>MVE</v>
          </cell>
          <cell r="E60" t="str">
            <v>BELLIER</v>
          </cell>
          <cell r="F60" t="str">
            <v>137 ter rue Jean Jaurès</v>
          </cell>
          <cell r="G60">
            <v>94700</v>
          </cell>
          <cell r="H60" t="str">
            <v>Maisons-Alfort</v>
          </cell>
          <cell r="I60" t="str">
            <v>PRIS EIE</v>
          </cell>
          <cell r="J60" t="str">
            <v>Premier RDV</v>
          </cell>
          <cell r="K60" t="str">
            <v>Modestes</v>
          </cell>
          <cell r="L60" t="str">
            <v>lbellier@gmail.com</v>
          </cell>
          <cell r="M60" t="str">
            <v>06 22 37 14 86</v>
          </cell>
          <cell r="N60" t="str">
            <v>Propriétaire occupant</v>
          </cell>
          <cell r="O60" t="str">
            <v>Maison_individuelle</v>
          </cell>
          <cell r="P60" t="str">
            <v>non</v>
          </cell>
          <cell r="Q60" t="str">
            <v>"MI 1930 5p+ annexe 1970 location 2p combles isolées, fenêtres DV ok, mur 50cm meulière - souhait ITI faible 3cm max Changement chaudière mixte fioul pour PAC ou chaudière pellet - aides"</v>
          </cell>
        </row>
        <row r="61">
          <cell r="A61">
            <v>43949</v>
          </cell>
          <cell r="B61" t="str">
            <v>Avril</v>
          </cell>
          <cell r="C61">
            <v>2020</v>
          </cell>
          <cell r="D61" t="str">
            <v>MVE</v>
          </cell>
          <cell r="E61" t="str">
            <v>PARIS</v>
          </cell>
          <cell r="F61" t="str">
            <v>7, rue Galilée</v>
          </cell>
          <cell r="G61">
            <v>93110</v>
          </cell>
          <cell r="H61" t="str">
            <v>Rosny-sous-Bois</v>
          </cell>
          <cell r="I61" t="str">
            <v>PRIS EIE</v>
          </cell>
          <cell r="J61" t="str">
            <v>Premier RDV</v>
          </cell>
          <cell r="K61" t="str">
            <v>Non éligibles ANAH</v>
          </cell>
          <cell r="L61" t="str">
            <v>nathalie.latapie@laposte.net</v>
          </cell>
          <cell r="M61" t="str">
            <v>06 79 45 11 39</v>
          </cell>
          <cell r="N61" t="str">
            <v>Propriétaire occupant</v>
          </cell>
          <cell r="O61" t="str">
            <v>Maison_individuelle</v>
          </cell>
          <cell r="P61" t="str">
            <v>non</v>
          </cell>
          <cell r="Q61" t="str">
            <v>"MI Rénovation 1 pan de toiture Zinc - Isolation par la même occasion importance confort d'été - Aides"</v>
          </cell>
        </row>
        <row r="62">
          <cell r="A62">
            <v>43949</v>
          </cell>
          <cell r="B62" t="str">
            <v>Avril</v>
          </cell>
          <cell r="C62">
            <v>2020</v>
          </cell>
          <cell r="D62" t="str">
            <v>MVE</v>
          </cell>
          <cell r="E62" t="str">
            <v>JOLIVET</v>
          </cell>
          <cell r="F62" t="str">
            <v>7 bis rue de la Liberté</v>
          </cell>
          <cell r="G62">
            <v>94100</v>
          </cell>
          <cell r="H62" t="str">
            <v>Saint-Maur-des-Fossés</v>
          </cell>
          <cell r="I62" t="str">
            <v>PRIS EIE</v>
          </cell>
          <cell r="J62" t="str">
            <v>Premier RDV</v>
          </cell>
          <cell r="K62" t="str">
            <v>Non éligibles ANAH</v>
          </cell>
          <cell r="L62" t="str">
            <v>christian.jolivet@laposte.net</v>
          </cell>
          <cell r="M62" t="str">
            <v>01 48 85 54 76</v>
          </cell>
          <cell r="N62" t="str">
            <v>Propriétaire occupant</v>
          </cell>
          <cell r="O62" t="str">
            <v>Maison_individuelle</v>
          </cell>
          <cell r="P62" t="str">
            <v>non</v>
          </cell>
          <cell r="Q62" t="str">
            <v>"Isolation combles perdues et aménagées, murs ITI et ITE, fenêtres, ventilation, chauffage et ECS Projette aussi installation PV ou solaire thermique - à suivre"</v>
          </cell>
        </row>
        <row r="63">
          <cell r="A63">
            <v>43955</v>
          </cell>
          <cell r="B63" t="str">
            <v>Mai</v>
          </cell>
          <cell r="C63">
            <v>2020</v>
          </cell>
          <cell r="D63" t="str">
            <v>MVE</v>
          </cell>
          <cell r="E63" t="str">
            <v>COSTECALDE</v>
          </cell>
          <cell r="F63" t="str">
            <v>112 av victor hugo</v>
          </cell>
          <cell r="G63">
            <v>94120</v>
          </cell>
          <cell r="H63" t="str">
            <v>Fontenay-sous-Bois</v>
          </cell>
          <cell r="I63" t="str">
            <v>PRIS EIE</v>
          </cell>
          <cell r="J63" t="str">
            <v>Premier RDV</v>
          </cell>
          <cell r="K63" t="str">
            <v>Modestes</v>
          </cell>
          <cell r="L63" t="str">
            <v>costecaldetrav@wanadoo.fr</v>
          </cell>
          <cell r="M63" t="str">
            <v>01 48 73 09 02</v>
          </cell>
          <cell r="N63" t="str">
            <v>Propriétaire occupant</v>
          </cell>
          <cell r="O63" t="str">
            <v>Maison_individuelle</v>
          </cell>
          <cell r="P63" t="str">
            <v>non</v>
          </cell>
          <cell r="Q63" t="str">
            <v>"PO retraité 73 ans seule 180m²- chaudière gaz 20 ans - Toiture et sous sol isolés - pas les murs Démarchée par AME offre PAC 16kW chauffage et ballons ECS atlantic - Inclut CEE EDF + MPR + éco PTZ domofinance"</v>
          </cell>
        </row>
        <row r="64">
          <cell r="A64">
            <v>43967</v>
          </cell>
          <cell r="B64" t="str">
            <v>Mai</v>
          </cell>
          <cell r="C64">
            <v>2020</v>
          </cell>
          <cell r="D64" t="str">
            <v>MVE Tél</v>
          </cell>
          <cell r="E64" t="str">
            <v>MARGARETTA Estelle , 
SOTHAVATH An</v>
          </cell>
          <cell r="F64" t="str">
            <v>14 avenue des abricots</v>
          </cell>
          <cell r="G64">
            <v>93370</v>
          </cell>
          <cell r="H64" t="str">
            <v>Montfermeil</v>
          </cell>
          <cell r="I64" t="str">
            <v>PRIS EIE</v>
          </cell>
          <cell r="J64" t="str">
            <v>Premier RDV</v>
          </cell>
          <cell r="K64" t="str">
            <v>Non éligibles ANAH</v>
          </cell>
          <cell r="L64" t="str">
            <v>estellou31770@gmail.com</v>
          </cell>
          <cell r="M64" t="str">
            <v>06 09 80 03 25</v>
          </cell>
          <cell r="N64" t="str">
            <v>Propriétaire occupant</v>
          </cell>
          <cell r="O64" t="str">
            <v>Maison_individuelle</v>
          </cell>
          <cell r="P64" t="str">
            <v>non</v>
          </cell>
          <cell r="Q64" t="str">
            <v>Grande MI 3 niveaux. couple 2 enfants non éléigibles ANAH - Souhait travaux économies énergie: isolation combles perdues et aménagées, fenêtres et chauffage.Question chauffage: conservation gaz? passage élec avec insert bûche? casser chape RDV et intégrer plancher chauffant? Aides FI</v>
          </cell>
        </row>
        <row r="65">
          <cell r="A65">
            <v>43967</v>
          </cell>
          <cell r="B65" t="str">
            <v>Mai</v>
          </cell>
          <cell r="C65">
            <v>2020</v>
          </cell>
          <cell r="D65" t="str">
            <v>MVE Tél</v>
          </cell>
          <cell r="E65" t="str">
            <v>LEDOUX</v>
          </cell>
          <cell r="F65" t="str">
            <v>76 Avenue de Vaucanson</v>
          </cell>
          <cell r="G65">
            <v>93370</v>
          </cell>
          <cell r="H65" t="str">
            <v>Montfermeil</v>
          </cell>
          <cell r="I65" t="str">
            <v>PRIS EIE</v>
          </cell>
          <cell r="J65" t="str">
            <v>Premier RDV</v>
          </cell>
          <cell r="K65" t="str">
            <v>Non éligibles ANAH</v>
          </cell>
          <cell r="L65" t="str">
            <v>pascal.ledoux93370@gmail.com elisa93370@gmail.com</v>
          </cell>
          <cell r="M65" t="str">
            <v>06 66 94 57 26</v>
          </cell>
          <cell r="N65" t="str">
            <v>Propriétaire occupant</v>
          </cell>
          <cell r="O65" t="str">
            <v>Maison_individuelle</v>
          </cell>
          <cell r="P65" t="str">
            <v>non</v>
          </cell>
          <cell r="Q65" t="str">
            <v>Parcours PREP - 2 personnes non éligible ANAH - MI 1967 RDC garage, parties chauffées R+1 et combles aménagées(mais non utilisées). ITE d'origine ~3cm isolation rampants 5cm dégradé pignons non isolés. Plancher bas hourdis béton non isolés, fenêtres DV 2005 et volets roulants, insert d'origine avec conduit cheminée, VMC installé par ses soins, présence grilles d'aération bas de mur. Intention refaire SDB avec travaux. A envoyer dialogie par description pour première estimation potentiel gain énergétique.</v>
          </cell>
        </row>
        <row r="66">
          <cell r="A66">
            <v>43967</v>
          </cell>
          <cell r="B66" t="str">
            <v>Mai</v>
          </cell>
          <cell r="C66">
            <v>2020</v>
          </cell>
          <cell r="D66" t="str">
            <v>MVE Tél</v>
          </cell>
          <cell r="E66" t="str">
            <v>BUDZYK Justina</v>
          </cell>
          <cell r="G66">
            <v>93370</v>
          </cell>
          <cell r="H66" t="str">
            <v>Montfermeil</v>
          </cell>
          <cell r="I66" t="str">
            <v>PRIS EIE</v>
          </cell>
          <cell r="J66" t="str">
            <v>Premier RDV</v>
          </cell>
          <cell r="K66" t="str">
            <v>Très Modestes</v>
          </cell>
          <cell r="L66" t="str">
            <v>budzyk@aol.com</v>
          </cell>
          <cell r="M66" t="str">
            <v>09 81 93 35 30</v>
          </cell>
          <cell r="N66" t="str">
            <v>Propriétaire occupant</v>
          </cell>
          <cell r="O66" t="str">
            <v>Maison_individuelle</v>
          </cell>
          <cell r="P66" t="str">
            <v>non</v>
          </cell>
          <cell r="Q66" t="str">
            <v>Dame seul éligible Anah - MI 120m²PREP non pertinent au vue existant: ITI 7 cm, combles perdues 8-10cm, fenêtres DV 1995Devis raccordement gaz avec chaudière conda pour remplacer fuel et ECS propane - étude aides MPR + CEE ou Anah HM sérénité</v>
          </cell>
        </row>
        <row r="67">
          <cell r="A67">
            <v>43966</v>
          </cell>
          <cell r="B67" t="str">
            <v>Mai</v>
          </cell>
          <cell r="C67">
            <v>2020</v>
          </cell>
          <cell r="D67" t="str">
            <v>MVE Tél</v>
          </cell>
          <cell r="E67" t="str">
            <v>Claire FORNARO</v>
          </cell>
          <cell r="F67" t="str">
            <v xml:space="preserve">COPRO
13 RUE ALBERT DE MUN </v>
          </cell>
          <cell r="G67">
            <v>94100</v>
          </cell>
          <cell r="H67" t="str">
            <v>Saint-Maur-des-Fossés</v>
          </cell>
          <cell r="I67" t="str">
            <v>PRIS EIE</v>
          </cell>
          <cell r="J67" t="str">
            <v>Premier RDV</v>
          </cell>
          <cell r="K67" t="str">
            <v>Non éligibles ANAH</v>
          </cell>
          <cell r="L67" t="str">
            <v>clairefornaro@gmail.com</v>
          </cell>
          <cell r="M67" t="str">
            <v>07 71 03 52 55</v>
          </cell>
          <cell r="N67" t="str">
            <v>Propriétaire occupant</v>
          </cell>
          <cell r="O67" t="str">
            <v>Collectif</v>
          </cell>
          <cell r="P67" t="str">
            <v>oui</v>
          </cell>
          <cell r="Q67" t="str">
            <v>Propriétaire occupantes arrivée janvier 2020 - souhaite intégrer CS lors de l'AG en octobreImmeuble brique année 40 jamais rénové - Souhait changer Chaudière 1978 - pas d'isolationOrientation vers démarche globale copro - réaliser des bilans puis un audit</v>
          </cell>
        </row>
        <row r="68">
          <cell r="A68">
            <v>43966</v>
          </cell>
          <cell r="B68" t="str">
            <v>Mai</v>
          </cell>
          <cell r="C68">
            <v>2020</v>
          </cell>
          <cell r="D68" t="str">
            <v>MVE Tél</v>
          </cell>
          <cell r="E68" t="str">
            <v>Ahmed El Moussaed</v>
          </cell>
          <cell r="F68" t="str">
            <v>111 Boulevard Henri Barbusse</v>
          </cell>
          <cell r="G68">
            <v>93100</v>
          </cell>
          <cell r="H68" t="str">
            <v>Montreuil</v>
          </cell>
          <cell r="I68" t="str">
            <v>PRIS EIE</v>
          </cell>
          <cell r="J68" t="str">
            <v>Suivi (3ème RDV ou plus)</v>
          </cell>
          <cell r="K68" t="str">
            <v>Non éligibles ANAH</v>
          </cell>
          <cell r="L68" t="str">
            <v>ahmed.elmoussaed@gmail.com</v>
          </cell>
          <cell r="M68" t="str">
            <v>06 22 40 43 50</v>
          </cell>
          <cell r="N68" t="str">
            <v>Propriétaire occupant</v>
          </cell>
          <cell r="O68" t="str">
            <v>Maison_individuelle</v>
          </cell>
          <cell r="P68" t="str">
            <v>non</v>
          </cell>
          <cell r="Q68" t="str">
            <v>PO MI - ITE + fenêtre partie de la maison seulementRecherches artisans + aides</v>
          </cell>
        </row>
        <row r="69">
          <cell r="A69">
            <v>43970</v>
          </cell>
          <cell r="B69" t="str">
            <v>Mai</v>
          </cell>
          <cell r="C69">
            <v>2020</v>
          </cell>
          <cell r="D69" t="str">
            <v>MVE Tél</v>
          </cell>
          <cell r="E69" t="str">
            <v>Christophe DEBARRE</v>
          </cell>
          <cell r="F69" t="str">
            <v>COPRO
8B RUE BEAUBOURG</v>
          </cell>
          <cell r="G69">
            <v>94100</v>
          </cell>
          <cell r="H69" t="str">
            <v>Saint-Maur-des-Fossés</v>
          </cell>
          <cell r="I69" t="str">
            <v>PRIS EIE</v>
          </cell>
          <cell r="J69" t="str">
            <v>Premier RDV</v>
          </cell>
          <cell r="K69" t="str">
            <v>Non éligibles ANAH</v>
          </cell>
          <cell r="L69" t="str">
            <v>christophe.debarre57@orange.fr</v>
          </cell>
          <cell r="M69" t="str">
            <v>06 17 51 14 86</v>
          </cell>
          <cell r="N69" t="str">
            <v>Propriétaire occupant</v>
          </cell>
          <cell r="O69" t="str">
            <v>Collectif</v>
          </cell>
          <cell r="P69" t="str">
            <v>oui</v>
          </cell>
          <cell r="Q69" t="str">
            <v>PO depuis 6ans membre CS. Pas de travaux réalisés dernières années, certains besoins de réno identifiées mais besoin de définir des prioritésFinances saines mais syndic actuel traite les besoins rapidement sans approche globale: pb canalisation récurrents avec cumul de travaux depuis 4 ans, changement chaudière gaz début années 2007 - désembouage 2010 - rééquilibrage 2018 - peu d'amélioration constaté en terme de confortSouhait de lancer la copro dans une démarche de rénovation énergétique - 3 devis d'audits obtenus par syndic 3 prestations différentesdéfinir un CDC pour audit global - besoin d'arguments pour convaincre CS du bien fondé de la démarche</v>
          </cell>
        </row>
        <row r="70">
          <cell r="A70">
            <v>43987</v>
          </cell>
          <cell r="B70" t="str">
            <v>Mai</v>
          </cell>
          <cell r="C70">
            <v>2020</v>
          </cell>
          <cell r="D70" t="str">
            <v>MVE Tél</v>
          </cell>
          <cell r="E70" t="str">
            <v>RODDE</v>
          </cell>
          <cell r="G70">
            <v>93100</v>
          </cell>
          <cell r="H70" t="str">
            <v>Montreuil</v>
          </cell>
          <cell r="I70" t="str">
            <v>PRIS EIE</v>
          </cell>
          <cell r="J70" t="str">
            <v>Premier RDV</v>
          </cell>
          <cell r="K70" t="str">
            <v>Non éligibles ANAH</v>
          </cell>
          <cell r="L70" t="str">
            <v>louisrodde@hotmail.fr</v>
          </cell>
          <cell r="M70" t="str">
            <v>06 68 51 71 40</v>
          </cell>
          <cell r="N70" t="str">
            <v>Propriétaire occupant</v>
          </cell>
          <cell r="O70" t="str">
            <v>Maison_individuelle</v>
          </cell>
          <cell r="P70" t="str">
            <v>non</v>
          </cell>
          <cell r="Q70" t="str">
            <v>changement vieille chaudière gaz - devis - coup de pouce non anah</v>
          </cell>
        </row>
        <row r="71">
          <cell r="A71">
            <v>43993</v>
          </cell>
          <cell r="B71" t="str">
            <v>Mai</v>
          </cell>
          <cell r="C71">
            <v>2020</v>
          </cell>
          <cell r="D71" t="str">
            <v>MVE Tél</v>
          </cell>
          <cell r="E71" t="str">
            <v>Christophe DEBARRE</v>
          </cell>
          <cell r="F71" t="str">
            <v>COPRO
8B RUE BEAUBOURG</v>
          </cell>
          <cell r="G71">
            <v>94100</v>
          </cell>
          <cell r="H71" t="str">
            <v>Saint-Maur-des-Fossés</v>
          </cell>
          <cell r="I71" t="str">
            <v>PRIS EIE</v>
          </cell>
          <cell r="J71" t="str">
            <v>Suivi (2ème RDV)</v>
          </cell>
          <cell r="K71" t="str">
            <v>Non éligibles ANAH</v>
          </cell>
          <cell r="L71" t="str">
            <v>christophe.debarre57@orange.fr</v>
          </cell>
          <cell r="M71" t="str">
            <v>06 17 51 14 86</v>
          </cell>
          <cell r="N71" t="str">
            <v>Propriétaire occupant</v>
          </cell>
          <cell r="O71" t="str">
            <v>Collectif</v>
          </cell>
          <cell r="P71" t="str">
            <v>oui</v>
          </cell>
          <cell r="Q71" t="str">
            <v>"2nd RDV avec autres membres du CS Arguments pour convaincre le CS de l'intérêt de la démarche globale de rénovation EDL - Audit- MOE et du soutien de l'ALEC"</v>
          </cell>
        </row>
        <row r="72">
          <cell r="A72">
            <v>43994</v>
          </cell>
          <cell r="B72" t="str">
            <v>Mai</v>
          </cell>
          <cell r="C72">
            <v>2020</v>
          </cell>
          <cell r="D72" t="str">
            <v>MVE Tél</v>
          </cell>
          <cell r="E72" t="str">
            <v>BOUSSOUMAH</v>
          </cell>
          <cell r="F72" t="str">
            <v>25 rue Carnot</v>
          </cell>
          <cell r="G72">
            <v>93130</v>
          </cell>
          <cell r="H72" t="str">
            <v>Noisy-le-Sec</v>
          </cell>
          <cell r="I72" t="str">
            <v>PRIS EIE</v>
          </cell>
          <cell r="J72" t="str">
            <v>Premier RDV</v>
          </cell>
          <cell r="K72" t="str">
            <v>Très Modestes</v>
          </cell>
          <cell r="L72" t="str">
            <v>virgileboussoumah@gmail.com</v>
          </cell>
          <cell r="M72" t="str">
            <v>06 86 76 10 62</v>
          </cell>
          <cell r="N72" t="str">
            <v>Propriétaire occupant</v>
          </cell>
          <cell r="O72" t="str">
            <v>Maison individuelle</v>
          </cell>
          <cell r="P72" t="str">
            <v>non</v>
          </cell>
          <cell r="Q72" t="str">
            <v>"Achat MI 2017 R+2 - meulière - 5 pers éligible TMO Réfection toiture avec Isolation s'oriente vers un sarking - voudrait du biosourcé et de la laine de bois difficulté à trouver un pro adapté Envisage aussi changement chaudière chaudffage uniquement pour mixte àld cumulus élec Aides fi: Anah HM Sérénité ou MPR + CEE"</v>
          </cell>
        </row>
        <row r="73">
          <cell r="A73">
            <v>43994</v>
          </cell>
          <cell r="B73" t="str">
            <v>Mai</v>
          </cell>
          <cell r="C73">
            <v>2020</v>
          </cell>
          <cell r="D73" t="str">
            <v>MVE Tél</v>
          </cell>
          <cell r="E73" t="str">
            <v>LEFEUVRE</v>
          </cell>
          <cell r="F73" t="str">
            <v>COPRO
47 AVENUE EDOUARD VAILLANT</v>
          </cell>
          <cell r="G73">
            <v>93500</v>
          </cell>
          <cell r="H73" t="str">
            <v>Pantin</v>
          </cell>
          <cell r="I73" t="str">
            <v>PRIS EIE</v>
          </cell>
          <cell r="J73" t="str">
            <v>Premier RDV</v>
          </cell>
          <cell r="K73" t="str">
            <v>Non éligibles ANAH</v>
          </cell>
          <cell r="L73" t="str">
            <v>philparis19@hotmail.com</v>
          </cell>
          <cell r="M73" t="str">
            <v>06 98 68 53 66</v>
          </cell>
          <cell r="N73" t="str">
            <v>Propriétaire occupant</v>
          </cell>
          <cell r="O73" t="str">
            <v>Collectif</v>
          </cell>
          <cell r="P73" t="str">
            <v>non</v>
          </cell>
          <cell r="Q73" t="str">
            <v>"Projet travaux réfection toiture/ isolation collectif. Autres besoin identifiées: isolation cave, réféction colonnes évacuation eau. Présentation démarche audit-MOE difficile pour petite copro équipements indiv . Prochaine AG spt 2020 pas de vote sélection devis travaux - attente 1 année suppl. pour augmenter fond travaux"</v>
          </cell>
        </row>
        <row r="74">
          <cell r="A74">
            <v>44001</v>
          </cell>
          <cell r="B74" t="str">
            <v>Mai</v>
          </cell>
          <cell r="C74">
            <v>2020</v>
          </cell>
          <cell r="D74" t="str">
            <v>MVE Tél</v>
          </cell>
          <cell r="E74" t="str">
            <v>PELEGRIN</v>
          </cell>
          <cell r="F74" t="str">
            <v>COPRO
8 RUE SAIGNE</v>
          </cell>
          <cell r="G74">
            <v>93100</v>
          </cell>
          <cell r="H74" t="str">
            <v>Montreuil</v>
          </cell>
          <cell r="I74" t="str">
            <v>PRIS EIE</v>
          </cell>
          <cell r="J74" t="str">
            <v>Premier RDV</v>
          </cell>
          <cell r="K74" t="str">
            <v>Non éligibles ANAH</v>
          </cell>
          <cell r="L74" t="str">
            <v>olivia_pelegrin@hotmail.com</v>
          </cell>
          <cell r="M74" t="str">
            <v>06 42 16 82 50</v>
          </cell>
          <cell r="N74" t="str">
            <v>Propriétaire occupant</v>
          </cell>
          <cell r="O74" t="str">
            <v>Collectif</v>
          </cell>
          <cell r="P74" t="str">
            <v>oui</v>
          </cell>
          <cell r="Q74" t="str">
            <v>"Petite copro 6 logements - Ravalement de facade nord et Est prévu vote AG 2021 ITE envisagé - infos devis - aides fi"</v>
          </cell>
        </row>
        <row r="75">
          <cell r="A75">
            <v>44008</v>
          </cell>
          <cell r="B75" t="str">
            <v>Mai</v>
          </cell>
          <cell r="C75">
            <v>2020</v>
          </cell>
          <cell r="D75" t="str">
            <v>MVE Tél</v>
          </cell>
          <cell r="E75" t="str">
            <v>TOULEMONDE</v>
          </cell>
          <cell r="F75" t="str">
            <v>83bis rue Molière</v>
          </cell>
          <cell r="G75">
            <v>93100</v>
          </cell>
          <cell r="H75" t="str">
            <v>Montreuil</v>
          </cell>
          <cell r="I75" t="str">
            <v>PRIS EIE</v>
          </cell>
          <cell r="J75" t="str">
            <v>Premier RDV</v>
          </cell>
          <cell r="K75" t="str">
            <v>Non éligibles ANAH</v>
          </cell>
          <cell r="L75" t="str">
            <v>ttoulemonde@free.fr</v>
          </cell>
          <cell r="M75" t="str">
            <v>06 77 13 06 82</v>
          </cell>
          <cell r="N75" t="str">
            <v>Propriétaire occupant</v>
          </cell>
          <cell r="O75" t="str">
            <v>Maison individuelle</v>
          </cell>
          <cell r="P75" t="str">
            <v>non</v>
          </cell>
          <cell r="Q75" t="str">
            <v>En cours achat - surrélevation - isolation enveloppe déja prévue avec archi. Actuel Chauffage et ECS Elec + insert bois. Projet: nouveau poêle, VMC hygro B, ECS CESI appoint élec.</v>
          </cell>
        </row>
        <row r="76">
          <cell r="A76">
            <v>44008</v>
          </cell>
          <cell r="B76" t="str">
            <v>Mai</v>
          </cell>
          <cell r="C76">
            <v>2020</v>
          </cell>
          <cell r="D76" t="str">
            <v>MVE Tél</v>
          </cell>
          <cell r="E76" t="str">
            <v>DUTREUILH</v>
          </cell>
          <cell r="F76" t="str">
            <v xml:space="preserve">7 avenue du Gros Chêne </v>
          </cell>
          <cell r="G76">
            <v>94350</v>
          </cell>
          <cell r="H76" t="str">
            <v>Villiers-sur-Marne</v>
          </cell>
          <cell r="I76" t="str">
            <v>PRIS EIE</v>
          </cell>
          <cell r="J76" t="str">
            <v>Premier RDV</v>
          </cell>
          <cell r="K76" t="str">
            <v>Non éligibles ANAH</v>
          </cell>
          <cell r="L76" t="str">
            <v>cd-traductions@sfr.fr</v>
          </cell>
          <cell r="M76" t="str">
            <v>06 68 60 58 03</v>
          </cell>
          <cell r="N76" t="str">
            <v>Propriétaire occupant</v>
          </cell>
          <cell r="O76" t="str">
            <v>Maison individuelle</v>
          </cell>
          <cell r="P76" t="str">
            <v>non</v>
          </cell>
          <cell r="Q76" t="str">
            <v>Projet PV en toiture sud-sud-ouest: 3 kW / 6 kW? vente totale ou autoconso?</v>
          </cell>
        </row>
        <row r="77">
          <cell r="A77">
            <v>44015</v>
          </cell>
          <cell r="B77" t="str">
            <v>Juillet</v>
          </cell>
          <cell r="C77">
            <v>2020</v>
          </cell>
          <cell r="D77" t="str">
            <v>PIE Externe</v>
          </cell>
          <cell r="E77" t="str">
            <v>AITKEN</v>
          </cell>
          <cell r="F77" t="str">
            <v>39 chemin de l'île Fanac</v>
          </cell>
          <cell r="G77">
            <v>94340</v>
          </cell>
          <cell r="H77" t="str">
            <v>Joinville-le-Pont</v>
          </cell>
          <cell r="I77" t="str">
            <v>PRIS EIE</v>
          </cell>
          <cell r="J77" t="str">
            <v>Suivi (2ème RDV)</v>
          </cell>
          <cell r="K77" t="str">
            <v>Non éligibles ANAH</v>
          </cell>
          <cell r="L77" t="str">
            <v>genevieveaitken@free.fr</v>
          </cell>
          <cell r="M77" t="str">
            <v>06 88 85 17 83</v>
          </cell>
          <cell r="N77" t="str">
            <v>Propriétaire occupant</v>
          </cell>
          <cell r="O77" t="str">
            <v>Maison individuelle</v>
          </cell>
          <cell r="P77" t="str">
            <v>non</v>
          </cell>
          <cell r="Q77" t="str">
            <v>2nd RDV - précision ventilation et phasage travaux - aides financières</v>
          </cell>
        </row>
        <row r="78">
          <cell r="A78">
            <v>44015</v>
          </cell>
          <cell r="B78" t="str">
            <v>Juillet</v>
          </cell>
          <cell r="C78">
            <v>2020</v>
          </cell>
          <cell r="D78" t="str">
            <v>MVE Tél</v>
          </cell>
          <cell r="E78" t="str">
            <v>RIGOT</v>
          </cell>
          <cell r="F78" t="str">
            <v>233 rue de Rosny</v>
          </cell>
          <cell r="G78">
            <v>93100</v>
          </cell>
          <cell r="H78" t="str">
            <v>Montreuil</v>
          </cell>
          <cell r="I78" t="str">
            <v>PRIS EIE</v>
          </cell>
          <cell r="J78" t="str">
            <v>Premier RDV</v>
          </cell>
          <cell r="K78" t="str">
            <v>Non éligibles ANAH</v>
          </cell>
          <cell r="L78" t="str">
            <v>rigotsolene@gmail.com</v>
          </cell>
          <cell r="M78" t="str">
            <v>06 98 96 80 28</v>
          </cell>
          <cell r="N78" t="str">
            <v>Propriétaire occupant</v>
          </cell>
          <cell r="O78" t="str">
            <v>Maison individuelle</v>
          </cell>
          <cell r="P78" t="str">
            <v>non</v>
          </cell>
          <cell r="Q78" t="str">
            <v xml:space="preserve">acquisition MI 19ème - 2 soeurs réno global - Isolation toiture, murs, changement certaines fenêtres SV, VMC, installation chaudière et modification réseau (division de lot) </v>
          </cell>
        </row>
        <row r="79">
          <cell r="A79">
            <v>44016</v>
          </cell>
          <cell r="B79" t="str">
            <v>Juillet</v>
          </cell>
          <cell r="C79">
            <v>2020</v>
          </cell>
          <cell r="D79" t="str">
            <v>PIE Externe</v>
          </cell>
          <cell r="E79" t="str">
            <v>KONAN</v>
          </cell>
          <cell r="F79" t="str">
            <v>89 Allée Danielle Casanova</v>
          </cell>
          <cell r="G79">
            <v>93320</v>
          </cell>
          <cell r="H79" t="str">
            <v>Les Pavillons-sous-Bois</v>
          </cell>
          <cell r="I79" t="str">
            <v>PRIS EIE</v>
          </cell>
          <cell r="J79" t="str">
            <v>Premier RDV</v>
          </cell>
          <cell r="K79" t="str">
            <v>Modestes</v>
          </cell>
          <cell r="L79" t="str">
            <v>amoingilleskonan@gmail.com</v>
          </cell>
          <cell r="M79" t="str">
            <v xml:space="preserve">06 13 62 70 56 </v>
          </cell>
          <cell r="N79" t="str">
            <v>Propriétaire occupant</v>
          </cell>
          <cell r="O79" t="str">
            <v>Maison individuelle</v>
          </cell>
          <cell r="P79" t="str">
            <v>non</v>
          </cell>
          <cell r="Q79" t="str">
            <v xml:space="preserve">MI en cours d'achat - 4pers éligibl Ananh MO - Travaux identifiés - devis avec entrepreneur nok - Fenêtres isolation Chauffage
Info entrepreneur RGE + aides fi
</v>
          </cell>
        </row>
        <row r="80">
          <cell r="A80">
            <v>44016</v>
          </cell>
          <cell r="B80" t="str">
            <v>Juillet</v>
          </cell>
          <cell r="C80">
            <v>2020</v>
          </cell>
          <cell r="D80" t="str">
            <v>MVE Tél</v>
          </cell>
          <cell r="E80" t="str">
            <v>FOUGERAY-MORIN</v>
          </cell>
          <cell r="F80" t="str">
            <v>73 AVENUE DES ALOUETTES</v>
          </cell>
          <cell r="G80">
            <v>93370</v>
          </cell>
          <cell r="H80" t="str">
            <v>Montfermeil</v>
          </cell>
          <cell r="I80" t="str">
            <v>PRIS EIE</v>
          </cell>
          <cell r="J80" t="str">
            <v>Premier RDV</v>
          </cell>
          <cell r="K80" t="str">
            <v>Modestes</v>
          </cell>
          <cell r="L80" t="str">
            <v>cbleucielfm@aol.fr</v>
          </cell>
          <cell r="M80" t="str">
            <v>06 46 43 54 14</v>
          </cell>
          <cell r="N80" t="str">
            <v>Propriétaire occupant</v>
          </cell>
          <cell r="O80" t="str">
            <v>Maison individuelle</v>
          </cell>
          <cell r="P80" t="str">
            <v>non</v>
          </cell>
          <cell r="Q80" t="str">
            <v>MI acheté en 2018 - 2 pers mais fils majeur avec revenu présent
Isolation combles et garage - ITE ou ITI écarté - présence amiante toiture et enduit murs
Aides fi pour décider quels travaux</v>
          </cell>
        </row>
        <row r="81">
          <cell r="A81">
            <v>44021</v>
          </cell>
          <cell r="B81" t="str">
            <v>Juillet</v>
          </cell>
          <cell r="C81">
            <v>2020</v>
          </cell>
          <cell r="D81" t="str">
            <v>MVE Tél</v>
          </cell>
          <cell r="E81" t="str">
            <v>BARRAT</v>
          </cell>
          <cell r="F81" t="str">
            <v>2/4 ALLEE DE LA BUTTE AUX CAILLES</v>
          </cell>
          <cell r="G81">
            <v>93160</v>
          </cell>
          <cell r="H81" t="str">
            <v>Noisy-le-Grand</v>
          </cell>
          <cell r="I81" t="str">
            <v>PRIS EIE</v>
          </cell>
          <cell r="J81" t="str">
            <v>Premier RDV</v>
          </cell>
          <cell r="K81" t="str">
            <v>Non éligibles ANAH</v>
          </cell>
          <cell r="L81" t="str">
            <v>barratcs8t@orange.fr</v>
          </cell>
          <cell r="M81" t="str">
            <v xml:space="preserve">01 42 87 99 44 </v>
          </cell>
          <cell r="N81" t="str">
            <v>Propriétaire occupant</v>
          </cell>
          <cell r="O81" t="str">
            <v>Collectif</v>
          </cell>
          <cell r="P81" t="str">
            <v>non</v>
          </cell>
        </row>
        <row r="82">
          <cell r="A82">
            <v>44029</v>
          </cell>
          <cell r="B82" t="str">
            <v>Juillet</v>
          </cell>
          <cell r="C82">
            <v>2020</v>
          </cell>
          <cell r="D82" t="str">
            <v>MVE Tél</v>
          </cell>
          <cell r="E82" t="str">
            <v>ABD</v>
          </cell>
          <cell r="F82" t="str">
            <v>COPRO
9 RUE ROUGET DE LISLE</v>
          </cell>
          <cell r="G82">
            <v>94700</v>
          </cell>
          <cell r="H82" t="str">
            <v>Maisons-Alfort</v>
          </cell>
          <cell r="I82" t="str">
            <v>PRIS EIE</v>
          </cell>
          <cell r="J82" t="str">
            <v>Premier RDV</v>
          </cell>
          <cell r="K82" t="str">
            <v>Non éligibles ANAH</v>
          </cell>
          <cell r="L82" t="str">
            <v>nacim.ab@live.fr</v>
          </cell>
          <cell r="M82">
            <v>631882499</v>
          </cell>
          <cell r="N82" t="str">
            <v>Propriétaire occupant</v>
          </cell>
          <cell r="O82" t="str">
            <v>Collectif</v>
          </cell>
          <cell r="P82" t="str">
            <v>oui</v>
          </cell>
          <cell r="Q82" t="str">
            <v>MM le 17/07 (1er contact) Projet: ITE évoqué en comité restreint CSRecherche info sur démarche et financement ITE
Orientation vers audit énergie pour estimer gain potentiel - retour prévu après concertation CS - avant AG prévu novembre</v>
          </cell>
        </row>
        <row r="83">
          <cell r="A83">
            <v>44029</v>
          </cell>
          <cell r="B83" t="str">
            <v>Juillet</v>
          </cell>
          <cell r="C83">
            <v>2020</v>
          </cell>
          <cell r="D83" t="str">
            <v>MVE Tél</v>
          </cell>
          <cell r="E83" t="str">
            <v>JACQUET</v>
          </cell>
          <cell r="F83" t="str">
            <v>COPRO
7 RUE JOSEPH GAILLARD</v>
          </cell>
          <cell r="G83">
            <v>94300</v>
          </cell>
          <cell r="H83" t="str">
            <v>Vincennes</v>
          </cell>
          <cell r="I83" t="str">
            <v>PRIS EIE</v>
          </cell>
          <cell r="J83" t="str">
            <v>Premier RDV</v>
          </cell>
          <cell r="K83" t="str">
            <v>Non éligibles ANAH</v>
          </cell>
          <cell r="L83" t="str">
            <v>philippe.jt@gmail.com</v>
          </cell>
          <cell r="M83" t="str">
            <v>06 64 76 64 82</v>
          </cell>
          <cell r="N83" t="str">
            <v>Propriétaire occupant</v>
          </cell>
          <cell r="O83" t="str">
            <v>Collectif</v>
          </cell>
          <cell r="P83" t="str">
            <v>oui</v>
          </cell>
          <cell r="Q83" t="str">
            <v>Projet ravalement facade côté cours ~250m² - Syndic à choisit l'architecte pour la MOE
Création CDC pour appel d'offre - résultat consultation 3 devis 2 cas ravalement simple et ITE
Questions sur cohérence du CDC - pas de concertation / explication avec membre CS - rencontre prévue prochainement pour clarifier</v>
          </cell>
        </row>
        <row r="84">
          <cell r="A84">
            <v>44035</v>
          </cell>
          <cell r="B84" t="str">
            <v>Juillet</v>
          </cell>
          <cell r="C84">
            <v>2020</v>
          </cell>
          <cell r="D84" t="str">
            <v>MVE</v>
          </cell>
          <cell r="E84" t="str">
            <v>METMAN</v>
          </cell>
          <cell r="F84" t="str">
            <v>29 rue Mauconseil</v>
          </cell>
          <cell r="G84">
            <v>94120</v>
          </cell>
          <cell r="H84" t="str">
            <v>Fontenay-sous-Bois</v>
          </cell>
          <cell r="I84" t="str">
            <v>PRIS EIE</v>
          </cell>
          <cell r="J84" t="str">
            <v>Premier RDV</v>
          </cell>
          <cell r="K84" t="str">
            <v>Non éligibles ANAH</v>
          </cell>
          <cell r="L84" t="str">
            <v>guillaume.metman@ensta.org</v>
          </cell>
          <cell r="M84" t="str">
            <v>06 60 10 48 00</v>
          </cell>
          <cell r="N84" t="str">
            <v>Propriétaire occupant</v>
          </cell>
          <cell r="O84" t="str">
            <v>Maison individuelle</v>
          </cell>
          <cell r="P84" t="str">
            <v>non</v>
          </cell>
          <cell r="Q84" t="str">
            <v xml:space="preserve">•	Abattre et refaire veranda avec toiture terrasson isolé - Rénovation installation élec -	Isolation : comble perdue prévu 
•	Mur intérieurs maison ppal pas toutes les pièces : sdb et bureaux (conservation cachet autres  pièces ppal intérieur) + 2nde maison
•	Chaudière frisquet : pas dans l’immédiat, fonctionne encore  - Pense à chaudière bois – espace disponible - 2nde maison : connectée à chaudière – création ballon élec
•	Panneau PV ou solaire thermique envisagé – mais zone classée
•	Travaux : a sélectionné un entrepreneur / pas RGE mais pas important car peu d’aide - Se pose la question d’un professionnel spécifique pour isolation des combles – proposition PRH – ouate de cellulose
</v>
          </cell>
        </row>
        <row r="85">
          <cell r="A85">
            <v>44036</v>
          </cell>
          <cell r="B85" t="str">
            <v>Juillet</v>
          </cell>
          <cell r="C85">
            <v>2020</v>
          </cell>
          <cell r="D85" t="str">
            <v>MVE</v>
          </cell>
          <cell r="E85" t="str">
            <v>RIGOT</v>
          </cell>
          <cell r="F85" t="str">
            <v>233 rue de Rosny</v>
          </cell>
          <cell r="G85">
            <v>93100</v>
          </cell>
          <cell r="H85" t="str">
            <v>Montreuil</v>
          </cell>
          <cell r="I85" t="str">
            <v xml:space="preserve">PRIS EIE </v>
          </cell>
          <cell r="J85" t="str">
            <v>Suivi (2ème RDV)</v>
          </cell>
          <cell r="K85" t="str">
            <v>Non éligibles ANAH</v>
          </cell>
          <cell r="L85" t="str">
            <v>rigotsolene@gmail.com</v>
          </cell>
          <cell r="M85" t="str">
            <v>06 98 96 80 28</v>
          </cell>
          <cell r="N85" t="str">
            <v xml:space="preserve">Propriétaire occupant </v>
          </cell>
          <cell r="O85" t="str">
            <v xml:space="preserve">Maison inviduelle </v>
          </cell>
          <cell r="P85" t="str">
            <v>non</v>
          </cell>
          <cell r="Q85" t="str">
            <v>Développement choix isolants, création chaudière - Critères performance énergétiques / RGE / PRH - Aides financières - à voir en fonction revenus</v>
          </cell>
        </row>
        <row r="86">
          <cell r="A86">
            <v>44036</v>
          </cell>
          <cell r="B86" t="str">
            <v>Juillet</v>
          </cell>
          <cell r="C86">
            <v>2020</v>
          </cell>
          <cell r="D86" t="str">
            <v>MVE</v>
          </cell>
          <cell r="E86" t="str">
            <v xml:space="preserve">ALEJANDRO </v>
          </cell>
          <cell r="F86" t="str">
            <v>63 rue Marcel et Jacques Gaucher</v>
          </cell>
          <cell r="G86">
            <v>94120</v>
          </cell>
          <cell r="H86" t="str">
            <v>Fontenay-sous-Bois</v>
          </cell>
          <cell r="I86" t="str">
            <v xml:space="preserve">PRIS EIE </v>
          </cell>
          <cell r="J86" t="str">
            <v>Premier RDV</v>
          </cell>
          <cell r="K86" t="str">
            <v>Non éligibles ANAH</v>
          </cell>
          <cell r="L86" t="str">
            <v>latefa.alejandro@gmail.com</v>
          </cell>
          <cell r="M86" t="str">
            <v>06 61 39 07 23</v>
          </cell>
          <cell r="N86" t="str">
            <v xml:space="preserve">Propriétaire occupant </v>
          </cell>
          <cell r="O86" t="str">
            <v xml:space="preserve">Maison inviduelle </v>
          </cell>
          <cell r="P86" t="str">
            <v>non</v>
          </cell>
          <cell r="Q86" t="str">
            <v>MI mitoyenne 2 côté, projet ITE facade avant et arrière + réisolation combles (isolation fait maison sur rampant alors que plus pertinent au sol sous plancher) + garage. Recherche de Professionnels sérieux</v>
          </cell>
        </row>
        <row r="87">
          <cell r="A87">
            <v>44040</v>
          </cell>
          <cell r="B87" t="str">
            <v>Juillet</v>
          </cell>
          <cell r="C87">
            <v>2020</v>
          </cell>
          <cell r="D87" t="str">
            <v>MVE</v>
          </cell>
          <cell r="E87" t="str">
            <v>BIRREGAH</v>
          </cell>
          <cell r="F87" t="str">
            <v>COPRO
10 rue Léon Blum</v>
          </cell>
          <cell r="G87">
            <v>94350</v>
          </cell>
          <cell r="H87" t="str">
            <v>Villiers-sur-Marne</v>
          </cell>
          <cell r="I87" t="str">
            <v xml:space="preserve">PRIS EIE </v>
          </cell>
          <cell r="J87" t="str">
            <v>Premier RDV</v>
          </cell>
          <cell r="K87" t="str">
            <v>Non éligibles ANAH</v>
          </cell>
          <cell r="L87" t="str">
            <v>bbirregah@gmail.com</v>
          </cell>
          <cell r="M87" t="str">
            <v xml:space="preserve">06 58 01 38 08 </v>
          </cell>
          <cell r="N87" t="str">
            <v xml:space="preserve">Propriétaire occupant </v>
          </cell>
          <cell r="O87" t="str">
            <v>Collectif</v>
          </cell>
          <cell r="P87" t="str">
            <v>non</v>
          </cell>
          <cell r="Q87" t="str">
            <v>Copro 1988 - Ensemble de plusieurs immeubles mitoyens ~62 copropriétaires – PO depuis 2014
Ravelement facade avant prévu dans ~2ans + facade arrière avec balcon pb étanchéité/ fissures - Dernier ravalement mal fait - Comportement plutôt individualiste – décision prise parfois « par cage d’escalier » au lieu de l’AG - Syndic peu impliqué – GID - DTG proposé, voté puis annulé – en cause raccordment chaudières indiv sur conduits ventil
Espace intérieur froid, problème isolation phonique ascenseur =&gt; ITI + fenêtres (VR?)
Pb chaudière individuelle : souhaite passer en condensation mais impossible avec conduit collectif
+  pb émetteurs radiateurs ne chauffent pas - intervention diagnostic par le passé sans résultat</v>
          </cell>
        </row>
        <row r="88">
          <cell r="A88">
            <v>44040</v>
          </cell>
          <cell r="B88" t="str">
            <v>Juillet</v>
          </cell>
          <cell r="C88">
            <v>2020</v>
          </cell>
          <cell r="D88" t="str">
            <v>MVE</v>
          </cell>
          <cell r="E88" t="str">
            <v>GHAZI</v>
          </cell>
          <cell r="F88" t="str">
            <v>9 avenue Diderot</v>
          </cell>
          <cell r="G88">
            <v>94100</v>
          </cell>
          <cell r="H88" t="str">
            <v>Saint-Maur-des-Fossés</v>
          </cell>
          <cell r="I88" t="str">
            <v xml:space="preserve">PRIS EIE </v>
          </cell>
          <cell r="J88" t="str">
            <v>Premier RDV</v>
          </cell>
          <cell r="K88" t="str">
            <v>Modestes</v>
          </cell>
          <cell r="L88" t="str">
            <v>ghaziassia@gmail.com</v>
          </cell>
          <cell r="M88" t="str">
            <v>06 63 63 30 41</v>
          </cell>
          <cell r="N88" t="str">
            <v xml:space="preserve">Propriétaire occupant </v>
          </cell>
          <cell r="O88" t="str">
            <v>Collectif</v>
          </cell>
          <cell r="P88" t="str">
            <v>non</v>
          </cell>
          <cell r="Q88" t="str">
            <v>Primo-accédante – appartement en copro - vide inutilisé dernièrement – sous combles perdue (isolation ?)
Travaux prévus : installation élec pas au norme, vieux radiateurs élec , anciennes fenêtres DV -Envisage ITI côté rue
Eligible Anah MO
Syndic Foncia - AG prévue à l’automne - Travaux votés en cours de réalisation : Plancher haut caves, Réfection Entrée
Prévu réfection toiture =&gt; intégrer besoin isolation - Dernier Ravalement ancien – évoqué mais pas à l’ordre du jour</v>
          </cell>
        </row>
        <row r="89">
          <cell r="A89">
            <v>44042</v>
          </cell>
          <cell r="B89" t="str">
            <v>Juillet</v>
          </cell>
          <cell r="C89">
            <v>2020</v>
          </cell>
          <cell r="D89" t="str">
            <v>MVE</v>
          </cell>
          <cell r="E89" t="str">
            <v>PAGES</v>
          </cell>
          <cell r="F89" t="str">
            <v>5 rue Ernest Savart</v>
          </cell>
          <cell r="G89">
            <v>93170</v>
          </cell>
          <cell r="H89" t="str">
            <v>Bagnolet</v>
          </cell>
          <cell r="I89" t="str">
            <v>PRIS EIE</v>
          </cell>
          <cell r="J89" t="str">
            <v>Premier RDV</v>
          </cell>
          <cell r="K89" t="str">
            <v>Très Modestes</v>
          </cell>
          <cell r="L89" t="str">
            <v>frpages@yahoo.fr</v>
          </cell>
          <cell r="M89">
            <v>683124421</v>
          </cell>
          <cell r="N89" t="str">
            <v>Propriétaire occupant</v>
          </cell>
          <cell r="O89" t="str">
            <v>Maison individuelle</v>
          </cell>
          <cell r="P89" t="str">
            <v>non</v>
          </cell>
          <cell r="Q89" t="str">
            <v xml:space="preserve">Projet : Rénovation globale : ITE, Isolation toiture et plancher bas, parois vitrées, raccordement au réseau de gaz, création ditribution EC avec émetteur - Demande : Conseils techniques et financières </v>
          </cell>
        </row>
        <row r="90">
          <cell r="A90">
            <v>44043</v>
          </cell>
          <cell r="B90" t="str">
            <v>Juillet</v>
          </cell>
          <cell r="C90">
            <v>2020</v>
          </cell>
          <cell r="D90" t="str">
            <v>MVE</v>
          </cell>
          <cell r="E90" t="str">
            <v>VAN COPENOLLE</v>
          </cell>
          <cell r="F90" t="str">
            <v>14 RUE DU BRAS SAINT ARNOULT</v>
          </cell>
          <cell r="G90">
            <v>93460</v>
          </cell>
          <cell r="H90" t="str">
            <v>Gournay-sur-Marne</v>
          </cell>
          <cell r="I90" t="str">
            <v>PRIS EIE</v>
          </cell>
          <cell r="J90" t="str">
            <v>Premier RDV</v>
          </cell>
          <cell r="K90" t="str">
            <v>Non éligibles ANAH</v>
          </cell>
          <cell r="L90" t="str">
            <v>stefgodet76@gmail.com</v>
          </cell>
          <cell r="M90" t="str">
            <v>06 75 86 83 32</v>
          </cell>
          <cell r="N90" t="str">
            <v>Propriétaire occupant</v>
          </cell>
          <cell r="O90" t="str">
            <v>Maison individuelle</v>
          </cell>
          <cell r="P90" t="str">
            <v>non</v>
          </cell>
          <cell r="Q90" t="str">
            <v>ISOLATIONS DES FENETRES + PORTES EXTERIEURES ISOLATIONS MURS INTERIEURS OU  EXTERIEURS - ELECTRICITE - ISOLATION COMBLE  CAVE - Aides Fi - intermédiaires</v>
          </cell>
        </row>
        <row r="91">
          <cell r="A91">
            <v>44043</v>
          </cell>
          <cell r="B91" t="str">
            <v>Juillet</v>
          </cell>
          <cell r="C91">
            <v>2020</v>
          </cell>
          <cell r="D91" t="str">
            <v>MVE</v>
          </cell>
          <cell r="E91" t="str">
            <v>CROIZER</v>
          </cell>
          <cell r="F91" t="str">
            <v>226 boulevard Theophile Sueur</v>
          </cell>
          <cell r="G91">
            <v>93100</v>
          </cell>
          <cell r="H91" t="str">
            <v>Montreuil</v>
          </cell>
          <cell r="I91" t="str">
            <v>PRIS EIE</v>
          </cell>
          <cell r="J91" t="str">
            <v>Premier RDV</v>
          </cell>
          <cell r="K91" t="str">
            <v>Très Modestes</v>
          </cell>
          <cell r="L91" t="str">
            <v>damien.croizer@gmail.com</v>
          </cell>
          <cell r="M91" t="str">
            <v>06 25 96 53 25</v>
          </cell>
          <cell r="N91" t="str">
            <v>Propriétaire occupant</v>
          </cell>
          <cell r="O91" t="str">
            <v>Maison individuelle</v>
          </cell>
          <cell r="P91" t="str">
            <v>non</v>
          </cell>
          <cell r="Q91" t="str">
            <v>demande aide montreuil - à priori suivi  SOLIHA donc ANAH HM sérénité? Pas intéressé par les autres aides CEE/MPR
Projet de rénovation peu adapté: création ouvertures sud ok mais poêle bois alors que chaudière gaz? Isolation rampant à l'occasion réno toiture ET isolation plancher comble?</v>
          </cell>
        </row>
        <row r="92">
          <cell r="A92">
            <v>44068</v>
          </cell>
          <cell r="B92" t="str">
            <v>Août</v>
          </cell>
          <cell r="C92">
            <v>2020</v>
          </cell>
          <cell r="D92" t="str">
            <v>MVE</v>
          </cell>
          <cell r="E92" t="str">
            <v>COPRO
BARBERIS</v>
          </cell>
          <cell r="F92" t="str">
            <v xml:space="preserve">84T CHAUSSEE DE L ETANG </v>
          </cell>
          <cell r="G92">
            <v>94160</v>
          </cell>
          <cell r="H92" t="str">
            <v>Saint-Mandé</v>
          </cell>
          <cell r="I92" t="str">
            <v>PRIS EIE</v>
          </cell>
          <cell r="J92" t="str">
            <v>Premier RDV</v>
          </cell>
          <cell r="K92" t="str">
            <v>Non éligibles ANAH</v>
          </cell>
          <cell r="L92" t="str">
            <v>cbconseil@aol.com</v>
          </cell>
          <cell r="M92" t="str">
            <v>01 60 80 50 70</v>
          </cell>
          <cell r="N92" t="str">
            <v>Propriétaire occupant</v>
          </cell>
          <cell r="O92" t="str">
            <v>Collectif</v>
          </cell>
          <cell r="P92" t="str">
            <v>oui</v>
          </cell>
          <cell r="Q92" t="str">
            <v>M. Barberis PB - depuis 2016 - Dernière AG le 20/07/20 Décision rénovation de l'immeuble: ravalement 2 facade car dégradée
chaudière fioul commune - augmentation +50% conso en  2019 RCU? PAC ?
Architecte introduit par le syndic sans concertation - M. Da Silva propose ITE côté cours uniquement laine minérale 160 cm rien de voté
Historique: Curetage facades en 2018
Explication démarche réno globale - audit pas simple car petite copro
M. Barberis transmet infos aux membres du CS pour organiser un 2nd rdv</v>
          </cell>
        </row>
        <row r="93">
          <cell r="A93">
            <v>44068</v>
          </cell>
          <cell r="B93" t="str">
            <v>Août</v>
          </cell>
          <cell r="C93">
            <v>2020</v>
          </cell>
          <cell r="D93" t="str">
            <v>MVE</v>
          </cell>
          <cell r="E93" t="str">
            <v>BROUTE</v>
          </cell>
          <cell r="F93" t="str">
            <v>8 rue Guilbert</v>
          </cell>
          <cell r="G93">
            <v>93250</v>
          </cell>
          <cell r="H93" t="str">
            <v>Villemomble</v>
          </cell>
          <cell r="I93" t="str">
            <v>PRIS EIE</v>
          </cell>
          <cell r="J93" t="str">
            <v>Premier RDV</v>
          </cell>
          <cell r="K93" t="str">
            <v>Modestes</v>
          </cell>
          <cell r="L93" t="str">
            <v>dom.dominique06@outlook.fr</v>
          </cell>
          <cell r="M93" t="str">
            <v>06 24 58 52 28</v>
          </cell>
          <cell r="N93" t="str">
            <v>Propriétaire occupant</v>
          </cell>
          <cell r="O93" t="str">
            <v>Maison individuelle</v>
          </cell>
          <cell r="P93" t="str">
            <v>non</v>
          </cell>
          <cell r="Q93" t="str">
            <v>PO TMO acqiusition juillet 2020 - fenêtres DV récentes pas d'ouverture pas de VMC =&gt; gros pb humidité retrait cloison et isolant existant très dégradé
facade sur rue (ITE refusé par mairie), facade arrière sur voisin qui est ok pour ITE
 isolation murs int (~100m²) et ext (~100 m²) + VMC moins urgent: changement chaudière (2006) et insert dans cheminée
recherches pros et infos aides Anah ou MPR/CEE</v>
          </cell>
        </row>
        <row r="94">
          <cell r="A94">
            <v>44078</v>
          </cell>
          <cell r="B94" t="str">
            <v>Septembre</v>
          </cell>
          <cell r="C94">
            <v>2020</v>
          </cell>
          <cell r="D94" t="str">
            <v>MVE</v>
          </cell>
          <cell r="E94" t="str">
            <v>MALBRANCHE</v>
          </cell>
          <cell r="F94" t="str">
            <v>11 rue Edouard Jenner</v>
          </cell>
          <cell r="G94">
            <v>94500</v>
          </cell>
          <cell r="H94" t="str">
            <v>Champigny-sur-Marne</v>
          </cell>
          <cell r="I94" t="str">
            <v>PRIS EIE</v>
          </cell>
          <cell r="J94" t="str">
            <v>Premier RDV</v>
          </cell>
          <cell r="K94" t="str">
            <v>Non éligibles ANAH</v>
          </cell>
          <cell r="L94" t="str">
            <v>aelpeacha@gmail.com</v>
          </cell>
          <cell r="M94" t="str">
            <v>06 24 67 04 87</v>
          </cell>
          <cell r="N94" t="str">
            <v>Propriétaire occupant</v>
          </cell>
          <cell r="O94" t="str">
            <v>Maison_individuelle</v>
          </cell>
          <cell r="P94" t="str">
            <v>non</v>
          </cell>
          <cell r="Q94" t="str">
            <v>2 projets (champigny et Joinville achat prochain)
2019 travaux Champigny :Passage fioul au gaz pour les -  6 velux - raccordement 1 pcs réseau chauffage</v>
          </cell>
        </row>
        <row r="95">
          <cell r="A95">
            <v>44078</v>
          </cell>
          <cell r="B95" t="str">
            <v>Septembre</v>
          </cell>
          <cell r="C95">
            <v>2020</v>
          </cell>
          <cell r="D95" t="str">
            <v>MVE</v>
          </cell>
          <cell r="E95" t="str">
            <v>GUILBERT</v>
          </cell>
          <cell r="F95" t="str">
            <v>3 SQUARE DE LA ROSERAIE</v>
          </cell>
          <cell r="G95">
            <v>94340</v>
          </cell>
          <cell r="H95" t="str">
            <v>Joinville-le-Pont</v>
          </cell>
          <cell r="I95" t="str">
            <v>PRIS EIE</v>
          </cell>
          <cell r="J95" t="str">
            <v>Premier RDV</v>
          </cell>
          <cell r="K95" t="str">
            <v>Non éligibles ANAH</v>
          </cell>
          <cell r="L95" t="str">
            <v>guilbertmaude@yahoo.fr</v>
          </cell>
          <cell r="M95" t="str">
            <v>06 64 23 07 37</v>
          </cell>
          <cell r="N95" t="str">
            <v>Propriétaire occupant</v>
          </cell>
          <cell r="O95" t="str">
            <v>Maison_individuelle</v>
          </cell>
          <cell r="P95" t="str">
            <v>non</v>
          </cell>
          <cell r="Q95" t="str">
            <v>Acquisition de pavillon juillet 2020 - travaux lourds de rénovation. Projet Extension + surrélevation.
zone de carrière en attente résultat étude de sol et étude structure + cout associés pour fixer le projet- architecte pour PC et prévision appel entrepreneur
Reprise contact quand éléments clarifiés</v>
          </cell>
        </row>
        <row r="96">
          <cell r="A96">
            <v>44079</v>
          </cell>
          <cell r="B96" t="str">
            <v>Septembre</v>
          </cell>
          <cell r="C96">
            <v>2020</v>
          </cell>
          <cell r="D96" t="str">
            <v>MVE Tél</v>
          </cell>
          <cell r="E96" t="str">
            <v>DEMONTALIVET</v>
          </cell>
          <cell r="F96" t="str">
            <v>6 Villa Marguerite</v>
          </cell>
          <cell r="G96">
            <v>93100</v>
          </cell>
          <cell r="H96" t="str">
            <v>Montreuil</v>
          </cell>
          <cell r="I96" t="str">
            <v>PRIS EIE</v>
          </cell>
          <cell r="J96" t="str">
            <v>Premier RDV</v>
          </cell>
          <cell r="K96" t="str">
            <v>Non éligibles ANAH</v>
          </cell>
          <cell r="L96" t="str">
            <v>vincentdemontalivet@hotmail.com</v>
          </cell>
          <cell r="M96" t="str">
            <v>06 99 39 14 10</v>
          </cell>
          <cell r="N96" t="str">
            <v>Propriétaire occupant</v>
          </cell>
          <cell r="O96" t="str">
            <v>Collectif</v>
          </cell>
          <cell r="P96" t="str">
            <v>non</v>
          </cell>
          <cell r="Q96" t="str">
            <v>Petite Copro de 4 copropriétaires dont 1 bailleur 10 lots soit 13 lots, syndic bénévole. Souhaite comparer la faisabilité PV vs CESC.
Problème chauffage et ECS indiv et peu de conso élec en PC donc projet auto conso ou CESC compliqué - veille nécessaire 
Doc EDL copro nonj fourni - attente des pcs pour définir si projet EnR pertinent</v>
          </cell>
        </row>
        <row r="97">
          <cell r="A97">
            <v>44079</v>
          </cell>
          <cell r="B97" t="str">
            <v>Septembre</v>
          </cell>
          <cell r="C97">
            <v>2020</v>
          </cell>
          <cell r="D97" t="str">
            <v>MVE Tél</v>
          </cell>
          <cell r="E97" t="str">
            <v>TEFIFHA</v>
          </cell>
          <cell r="F97" t="str">
            <v>12 Allée Louise Weiss</v>
          </cell>
          <cell r="G97">
            <v>93360</v>
          </cell>
          <cell r="H97" t="str">
            <v>Neuilly-Plaisance</v>
          </cell>
          <cell r="I97" t="str">
            <v>PRIS EIE</v>
          </cell>
          <cell r="J97" t="str">
            <v>Premier RDV</v>
          </cell>
          <cell r="K97" t="str">
            <v>Très Modestes</v>
          </cell>
          <cell r="L97" t="str">
            <v>mondher.t@live.fr</v>
          </cell>
          <cell r="M97" t="str">
            <v>06 21 89 33 39</v>
          </cell>
          <cell r="N97" t="str">
            <v>Propriétaire occupant</v>
          </cell>
          <cell r="O97" t="str">
            <v>Maison_individuelle</v>
          </cell>
          <cell r="P97" t="str">
            <v>non</v>
          </cell>
          <cell r="Q97" t="str">
            <v xml:space="preserve">Questions aides et travaux pour son oncle PO MI retraité RSA (?) - cherche changer instalation élec + grilles pain + ballon + baignoire =&gt; redirection Anah
Conseil travaux énergie &gt; combles - 1€ pas de ressources. Factures HP/HC 12kVA - changement base pas de gros intérêt  </v>
          </cell>
        </row>
        <row r="98">
          <cell r="A98">
            <v>44079</v>
          </cell>
          <cell r="B98" t="str">
            <v>Septembre</v>
          </cell>
          <cell r="C98">
            <v>2020</v>
          </cell>
          <cell r="D98" t="str">
            <v>MVE</v>
          </cell>
          <cell r="E98" t="str">
            <v>COPRO
DUPUIS</v>
          </cell>
          <cell r="F98">
            <v>93500</v>
          </cell>
          <cell r="G98">
            <v>93500</v>
          </cell>
          <cell r="H98" t="str">
            <v>Pantin</v>
          </cell>
          <cell r="I98" t="str">
            <v>PRIS EIE</v>
          </cell>
          <cell r="J98" t="str">
            <v>Suivi (2ème RDV)</v>
          </cell>
          <cell r="K98" t="str">
            <v>Non éligibles ANAH</v>
          </cell>
          <cell r="L98" t="str">
            <v>etiennedupuis_8@hotmail.com</v>
          </cell>
          <cell r="M98" t="str">
            <v>06 84 97 50 82</v>
          </cell>
          <cell r="N98" t="str">
            <v>Propriétaire occupant</v>
          </cell>
          <cell r="O98" t="str">
            <v>Collectif</v>
          </cell>
          <cell r="P98" t="str">
            <v>non</v>
          </cell>
          <cell r="Q98" t="str">
            <v>suivi de RDV PAC et Solaire en collectif - reprise audit 2018 dont certains travaux déjà réalisés pour nouveau scénario de travaux
Bâtiment déjà classé C - gains limités</v>
          </cell>
        </row>
        <row r="99">
          <cell r="A99">
            <v>44083</v>
          </cell>
          <cell r="B99" t="str">
            <v>Septembre</v>
          </cell>
          <cell r="C99">
            <v>2020</v>
          </cell>
          <cell r="D99" t="str">
            <v>MVE</v>
          </cell>
          <cell r="E99" t="str">
            <v>ALBERIC</v>
          </cell>
          <cell r="F99" t="str">
            <v>4, avenue des Sycomores</v>
          </cell>
          <cell r="G99">
            <v>93110</v>
          </cell>
          <cell r="H99" t="str">
            <v>Rosny-sous-Bois</v>
          </cell>
          <cell r="I99" t="str">
            <v>PRIS EIE</v>
          </cell>
          <cell r="J99" t="str">
            <v>Premier RDV</v>
          </cell>
          <cell r="K99" t="str">
            <v>Non éligibles ANAH</v>
          </cell>
          <cell r="L99" t="str">
            <v>calberic@gmail.com</v>
          </cell>
          <cell r="M99" t="str">
            <v>07 78 69 84 98</v>
          </cell>
          <cell r="N99" t="str">
            <v>Propriétaire occupant</v>
          </cell>
          <cell r="O99" t="str">
            <v>Collectif</v>
          </cell>
          <cell r="P99" t="str">
            <v>non</v>
          </cell>
          <cell r="Q99" t="str">
            <v>Copro Mme Alberic membre CS: arrivée février 2017 - très active - 2bat 22 logmt 
problème chaufferie collecitvet infiltration parking souterrain - voir détail coach copro</v>
          </cell>
        </row>
        <row r="100">
          <cell r="A100">
            <v>44085</v>
          </cell>
          <cell r="B100" t="str">
            <v>Septembre</v>
          </cell>
          <cell r="C100">
            <v>2020</v>
          </cell>
          <cell r="D100" t="str">
            <v>MVE</v>
          </cell>
          <cell r="E100" t="str">
            <v>MOKOLO</v>
          </cell>
          <cell r="F100" t="str">
            <v>6 rue Roger VERLONNE</v>
          </cell>
          <cell r="G100">
            <v>93130</v>
          </cell>
          <cell r="H100" t="str">
            <v>Noisy-le-Sec</v>
          </cell>
          <cell r="I100" t="str">
            <v>PRIS EIE</v>
          </cell>
          <cell r="J100" t="str">
            <v>Premier RDV</v>
          </cell>
          <cell r="K100" t="str">
            <v>Non éligibles ANAH</v>
          </cell>
          <cell r="L100" t="str">
            <v>katyamokolo@gmail.com</v>
          </cell>
          <cell r="M100" t="str">
            <v xml:space="preserve">06 13 71 58 53 </v>
          </cell>
          <cell r="N100" t="str">
            <v>Propriétaire occupant</v>
          </cell>
          <cell r="O100" t="str">
            <v>Collectif</v>
          </cell>
          <cell r="P100" t="str">
            <v>non</v>
          </cell>
          <cell r="Q100" t="str">
            <v>petite copro - 2 PO - Mme Mokolo au R+1 et comble aménagés depuis fin 2019
gros travaux (toiture, isolation ...)suite à incendie mai 2020 - séparation également des compteur eau/ elec / gaz et création chaudière + modif partie toiture en TT
accompagnement par architecte  - Conseil: isolation mur (ITI), chaudière gaz, panneau? modèle à étudier</v>
          </cell>
        </row>
        <row r="101">
          <cell r="A101">
            <v>44085</v>
          </cell>
          <cell r="B101" t="str">
            <v>Septembre</v>
          </cell>
          <cell r="C101">
            <v>2020</v>
          </cell>
          <cell r="D101" t="str">
            <v>MVE</v>
          </cell>
          <cell r="E101" t="str">
            <v xml:space="preserve">PETILLON </v>
          </cell>
          <cell r="F101" t="str">
            <v>195 rue Robespierre, bât. A</v>
          </cell>
          <cell r="G101">
            <v>93170</v>
          </cell>
          <cell r="H101" t="str">
            <v>Bagnolet</v>
          </cell>
          <cell r="I101" t="str">
            <v>PRIS EIE</v>
          </cell>
          <cell r="J101" t="str">
            <v>Premier RDV</v>
          </cell>
          <cell r="K101" t="str">
            <v>Non éligibles ANAH</v>
          </cell>
          <cell r="L101" t="str">
            <v>tibbaal@gmail.com</v>
          </cell>
          <cell r="M101" t="str">
            <v xml:space="preserve">06 60 63 17 83 </v>
          </cell>
          <cell r="N101" t="str">
            <v>Propriétaire occupant</v>
          </cell>
          <cell r="O101" t="str">
            <v>Collectif</v>
          </cell>
          <cell r="P101" t="str">
            <v>non</v>
          </cell>
          <cell r="Q101" t="str">
            <v>évaluer la faisabilité et l’intérêt du solaire photovoltaïque et thermique sur terrasse privative mais partie commune de la copro
site identifié toiture cabanon ~2,5m² =&gt; orientation vers CESI - question accord urbe / raccordement tuyaux PC vers PP  accord copro</v>
          </cell>
        </row>
        <row r="102">
          <cell r="A102">
            <v>44092</v>
          </cell>
          <cell r="B102" t="str">
            <v>Septembre</v>
          </cell>
          <cell r="C102">
            <v>2020</v>
          </cell>
          <cell r="D102" t="str">
            <v>MVE</v>
          </cell>
          <cell r="E102" t="str">
            <v>AMEZZA</v>
          </cell>
          <cell r="F102" t="str">
            <v xml:space="preserve">86 Rue Edouard VAILLANT  </v>
          </cell>
          <cell r="G102">
            <v>93100</v>
          </cell>
          <cell r="H102" t="str">
            <v>Montreuil</v>
          </cell>
          <cell r="I102" t="str">
            <v>PRIS EIE</v>
          </cell>
          <cell r="J102" t="str">
            <v>Premier RDV</v>
          </cell>
          <cell r="K102" t="str">
            <v>Non éligibles ANAH</v>
          </cell>
          <cell r="L102" t="str">
            <v>samezza@hotmail.com</v>
          </cell>
          <cell r="M102" t="str">
            <v>06 82 80 91 43</v>
          </cell>
          <cell r="N102" t="str">
            <v>Propriétaire occupant</v>
          </cell>
          <cell r="O102" t="str">
            <v>Micro-collectif (&lt;5logts)</v>
          </cell>
          <cell r="P102" t="str">
            <v>non</v>
          </cell>
          <cell r="Q102" t="str">
            <v>petite copro - Isolation combles perdues + remise à niveau des VMR
ITE serait idéal mais compliqué les autres copro construisent des extensions - PRH</v>
          </cell>
        </row>
        <row r="103">
          <cell r="A103">
            <v>44092</v>
          </cell>
          <cell r="B103" t="str">
            <v>Septembre</v>
          </cell>
          <cell r="C103">
            <v>2020</v>
          </cell>
          <cell r="E103" t="str">
            <v xml:space="preserve">PERICONE </v>
          </cell>
          <cell r="F103" t="str">
            <v>87 bis rue Alexis Lepère</v>
          </cell>
          <cell r="G103">
            <v>93100</v>
          </cell>
          <cell r="H103" t="str">
            <v>Montreuil</v>
          </cell>
          <cell r="I103" t="str">
            <v>PRIS EIE</v>
          </cell>
          <cell r="J103" t="str">
            <v>Premier RDV</v>
          </cell>
          <cell r="K103" t="str">
            <v>Non éligibles ANAH</v>
          </cell>
          <cell r="L103" t="str">
            <v>n.pericone@cegetel.net</v>
          </cell>
          <cell r="M103" t="str">
            <v>06 81 95 53 27</v>
          </cell>
          <cell r="N103" t="str">
            <v>Propriétaire bailleur</v>
          </cell>
          <cell r="O103" t="str">
            <v>Maison individuelle</v>
          </cell>
          <cell r="P103" t="str">
            <v>non</v>
          </cell>
          <cell r="Q103" t="str">
            <v>PB loue "chalet" ossature bois 35m² 1988 meublé - isolé ld roche d'origine - conso élec relevée près 5000kWh (compteur "maison" géré par mme Pericone - pas de relevé EDF) - tout élec - questions sur les équipements élec, rien de particulier sinon vieux frigo - pas de four
 questions sur usage: même conso pour les différents locataires depuis ~15 ans 
Préco prise caméra thermique et relevé mensuel pour identifier si pb = isolation tassée</v>
          </cell>
        </row>
        <row r="104">
          <cell r="A104">
            <v>44096</v>
          </cell>
          <cell r="B104" t="str">
            <v>Septembre</v>
          </cell>
          <cell r="C104">
            <v>2020</v>
          </cell>
          <cell r="D104" t="str">
            <v>MVE Tél</v>
          </cell>
          <cell r="E104" t="str">
            <v>BIGAY</v>
          </cell>
          <cell r="G104">
            <v>94500</v>
          </cell>
          <cell r="H104" t="str">
            <v>Champigny-sur-Marne</v>
          </cell>
          <cell r="I104" t="str">
            <v>PRIS EIE</v>
          </cell>
          <cell r="J104" t="str">
            <v>Premier RDV</v>
          </cell>
          <cell r="K104" t="str">
            <v>Non éligibles ANAH</v>
          </cell>
          <cell r="L104" t="str">
            <v>yann.bigay@gmail.com</v>
          </cell>
          <cell r="M104">
            <v>626827185</v>
          </cell>
          <cell r="N104" t="str">
            <v>Propriétaire occupant</v>
          </cell>
          <cell r="O104" t="str">
            <v>Maison individuelle</v>
          </cell>
          <cell r="Q104" t="str">
            <v>MI 1930 R+1 2pers RFR sup - combles aujourd’hui perdues et cave semi enterré aménagée.
nombreux travaux réalisés par propriétaire précedent - Isolation combles à aménager + VMC - aides fi</v>
          </cell>
        </row>
        <row r="105">
          <cell r="A105">
            <v>44099</v>
          </cell>
          <cell r="B105" t="str">
            <v>Septembre</v>
          </cell>
          <cell r="C105">
            <v>2020</v>
          </cell>
          <cell r="D105" t="str">
            <v>MVE</v>
          </cell>
          <cell r="E105" t="str">
            <v>GUILLET</v>
          </cell>
          <cell r="G105">
            <v>93250</v>
          </cell>
          <cell r="H105" t="str">
            <v>Villemomble</v>
          </cell>
          <cell r="I105" t="str">
            <v>PRIS EIE</v>
          </cell>
          <cell r="J105" t="str">
            <v>Premier RDV</v>
          </cell>
          <cell r="K105" t="str">
            <v>Non éligibles ANAH</v>
          </cell>
          <cell r="L105" t="str">
            <v>estelleguillet@hotmail.fr</v>
          </cell>
          <cell r="M105">
            <v>614127828</v>
          </cell>
          <cell r="N105" t="str">
            <v>Propriétaire occupant</v>
          </cell>
          <cell r="O105" t="str">
            <v>Maison individuelle</v>
          </cell>
          <cell r="Q105" t="str">
            <v>maison années 30 avec modenature et sous bassement meulière (pas de fiche EDL !) achat 2016 3pers - avec travaux 
isolation comble perdue aile gauche laine de verre, isolation mur R+1 pse faible/ changement fenêtre
projet de départ ITE car aides - remis en question (info démarche DP urba, CAUE 94...)
aile droite rampants avec chien assis à isoler - inconfort froid hiver chaud été - inscription PRH qd EDL</v>
          </cell>
        </row>
        <row r="106">
          <cell r="A106">
            <v>44099</v>
          </cell>
          <cell r="B106" t="str">
            <v>Septembre</v>
          </cell>
          <cell r="C106">
            <v>2020</v>
          </cell>
          <cell r="D106" t="str">
            <v>MVE Tél</v>
          </cell>
          <cell r="E106" t="str">
            <v>LACOMBE</v>
          </cell>
          <cell r="G106">
            <v>94500</v>
          </cell>
          <cell r="H106" t="str">
            <v>Champigny-sur-Marne</v>
          </cell>
          <cell r="I106" t="str">
            <v>PRIS EIE</v>
          </cell>
          <cell r="J106" t="str">
            <v>Premier RDV</v>
          </cell>
          <cell r="K106" t="str">
            <v>Modestes</v>
          </cell>
          <cell r="L106" t="str">
            <v>francis.lacombe@laposte.net</v>
          </cell>
          <cell r="M106" t="str">
            <v xml:space="preserve">06 70 44 79 58 </v>
          </cell>
          <cell r="N106" t="str">
            <v>Propriétaire occupant</v>
          </cell>
          <cell r="O106" t="str">
            <v>Maison individuelle</v>
          </cell>
          <cell r="Q106" t="str">
            <v>MI 3 pers selon avis impots - Achat oct 2019 - y a travaillé sans y dormir jusque mai 2020
rénovation complète dont chaudière fioul (changement bruleur 2017)  rampants isolé confort hiver satisfaisant mais grosse chaleur l'été - surtout comble perdues latéraux côté sud.
Souhaite passer à PAC Duo - info techniques, aides Fi</v>
          </cell>
        </row>
        <row r="107">
          <cell r="A107">
            <v>44113</v>
          </cell>
          <cell r="B107" t="str">
            <v>Octobre</v>
          </cell>
          <cell r="C107">
            <v>2020</v>
          </cell>
          <cell r="D107" t="str">
            <v>PIE Externe</v>
          </cell>
          <cell r="E107" t="str">
            <v>TURKMEN Cem</v>
          </cell>
          <cell r="G107">
            <v>94350</v>
          </cell>
          <cell r="H107" t="str">
            <v>Villiers-sur-Marne</v>
          </cell>
          <cell r="I107" t="str">
            <v>PRIS EIE</v>
          </cell>
          <cell r="J107" t="str">
            <v>Premier RDV</v>
          </cell>
          <cell r="K107" t="str">
            <v>Non éligibles ANAH</v>
          </cell>
          <cell r="L107" t="str">
            <v>turkmen.cem@outlook.com</v>
          </cell>
          <cell r="M107" t="str">
            <v>07 70 18 90 09</v>
          </cell>
          <cell r="N107" t="str">
            <v>Propriétaire occupant</v>
          </cell>
          <cell r="O107" t="str">
            <v>Maison individuelle</v>
          </cell>
          <cell r="Q107" t="str">
            <v>MI tout en longueur plein pied pièces de vie sous toiture grande HSP - partie année 50 parpaing faible isolation toiture et mur et partie récente 2005 mieux isolée. Projet ITE: zones inaccessible cause muret et par endroit inapproprié si ITI suffisant - besoin de mieux connaître ITI existants. Toit: isolation à refaire à minima partie d'origine. Chauffage radiateur élec sans inertie + poêle bûche - poêle difficile pour chauffer reste maison vue configuration. Option PAC Air/Air. VMC/ VMR existant à entretenir/ réparer.
Aides catégorie violet</v>
          </cell>
        </row>
        <row r="108">
          <cell r="A108">
            <v>44113</v>
          </cell>
          <cell r="B108" t="str">
            <v>Octobre</v>
          </cell>
          <cell r="C108">
            <v>2020</v>
          </cell>
          <cell r="D108" t="str">
            <v>PIE Externe</v>
          </cell>
          <cell r="E108" t="str">
            <v>CHEUNG Kha Chi</v>
          </cell>
          <cell r="G108">
            <v>94350</v>
          </cell>
          <cell r="H108" t="str">
            <v>Villiers-sur-Marne</v>
          </cell>
          <cell r="I108" t="str">
            <v>PRIS EIE</v>
          </cell>
          <cell r="J108" t="str">
            <v>Premier RDV</v>
          </cell>
          <cell r="K108" t="str">
            <v>Non éligibles ANAH</v>
          </cell>
          <cell r="L108" t="str">
            <v>cheungkachi@hotmail.com</v>
          </cell>
          <cell r="M108" t="str">
            <v>06 75 05 97 86</v>
          </cell>
          <cell r="N108" t="str">
            <v>Propriétaire occupant</v>
          </cell>
          <cell r="O108" t="str">
            <v>Maison individuelle</v>
          </cell>
          <cell r="Q108" t="str">
            <v>MI 1994 achat 2017 tout élec contrat HP/HC environ 2/3-1/3 - grosse conso
installation PAC air/air chauffage + clim 2018 - conso etfactures restées élevée. Changement nombreuses lampes halogènes pour LED récent.
Très chaud été (Clim)- R+1 sous rampant isolation ~10cm surtout partie combles perdues isolation rampants très dégradée - conseil isoler plancher bas avec précaution nombreux câbles éclairage + PAC + VMC
Cumulus 200L parfois en marche forcée - conseil action sur usage + mousseur/ reduc débit ect..</v>
          </cell>
        </row>
        <row r="109">
          <cell r="A109">
            <v>44113</v>
          </cell>
          <cell r="B109" t="str">
            <v>Octobre</v>
          </cell>
          <cell r="C109">
            <v>2020</v>
          </cell>
          <cell r="D109" t="str">
            <v>PIE Externe</v>
          </cell>
          <cell r="E109" t="str">
            <v>Thiron, Noelle</v>
          </cell>
          <cell r="G109">
            <v>94350</v>
          </cell>
          <cell r="H109" t="str">
            <v>Villiers-sur-Marne</v>
          </cell>
          <cell r="I109" t="str">
            <v>PRIS EIE</v>
          </cell>
          <cell r="J109" t="str">
            <v>Premier RDV</v>
          </cell>
          <cell r="K109" t="str">
            <v>Modestes</v>
          </cell>
          <cell r="L109" t="str">
            <v>noethimas@gmail.com</v>
          </cell>
          <cell r="M109" t="str">
            <v>06 60 60 40 83</v>
          </cell>
          <cell r="N109" t="str">
            <v>Propriétaire occupant</v>
          </cell>
          <cell r="O109" t="str">
            <v>Maison individuelle</v>
          </cell>
          <cell r="Q109" t="str">
            <v>couple achat MI brique année 30-40 zone inondable bord de marne - extension (parpaing) + surrélevation +50% ajout surface = neuf = RT 2012
ITE nlle facade avec enduit mince RDC et souhait bardage bois R+1 donc technique différent - vérfier faisa avec les pro (et €€€)  - ITI intérieur ok
Ventilation dble flux, chauffage ECS actuel tout élec: question choix PAC duo (ajout réseau eau RDC) ou alternative plus simple poele granulé idéal car MI compact
étude économique des solutions chauffage - prévoir 2nd rdv avec aides fi</v>
          </cell>
        </row>
        <row r="110">
          <cell r="A110">
            <v>44120</v>
          </cell>
          <cell r="B110" t="str">
            <v>Octobre</v>
          </cell>
          <cell r="C110">
            <v>2020</v>
          </cell>
          <cell r="D110" t="str">
            <v>MVE Tél</v>
          </cell>
          <cell r="E110" t="str">
            <v>BERBAH</v>
          </cell>
          <cell r="G110">
            <v>93170</v>
          </cell>
          <cell r="H110" t="str">
            <v>Bagnolet</v>
          </cell>
          <cell r="I110" t="str">
            <v>PRIS EIE</v>
          </cell>
          <cell r="J110" t="str">
            <v>Premier RDV</v>
          </cell>
          <cell r="K110" t="str">
            <v>Non éligibles ANAH</v>
          </cell>
          <cell r="L110" t="str">
            <v>pdabert@free.fr</v>
          </cell>
          <cell r="M110" t="str">
            <v>06 69 51 10 00</v>
          </cell>
          <cell r="N110" t="str">
            <v>Propriétaire occupant</v>
          </cell>
          <cell r="O110" t="str">
            <v>Maison individuelle</v>
          </cell>
          <cell r="Q110" t="str">
            <v>MI 2 partie dont une avec extension– 140m² 4 pers RFR+ 80k€
Chauffage tout élec – ITI 5 cm par ses soins - Projet : ITE + ballon thermo + poêle granulé + PAC A/A - Aides Fi MPR / CEE</v>
          </cell>
        </row>
        <row r="111">
          <cell r="A111">
            <v>44120</v>
          </cell>
          <cell r="B111" t="str">
            <v>Octobre</v>
          </cell>
          <cell r="C111">
            <v>2020</v>
          </cell>
          <cell r="D111" t="str">
            <v>MVE Tél</v>
          </cell>
          <cell r="E111" t="str">
            <v>MARCOMBE</v>
          </cell>
          <cell r="G111">
            <v>93100</v>
          </cell>
          <cell r="H111" t="str">
            <v>Montreuil</v>
          </cell>
          <cell r="I111" t="str">
            <v>PRIS EIE</v>
          </cell>
          <cell r="J111" t="str">
            <v>Premier RDV</v>
          </cell>
          <cell r="K111" t="str">
            <v>Très Modestes</v>
          </cell>
          <cell r="L111" t="str">
            <v>sylcombe@hotmail.com</v>
          </cell>
          <cell r="M111">
            <v>689253350</v>
          </cell>
          <cell r="N111" t="str">
            <v>Propriétaire occupant</v>
          </cell>
          <cell r="O111" t="str">
            <v>Maison individuelle</v>
          </cell>
          <cell r="Q111" t="str">
            <v>Cumul MPR + CEE + Montreuil - Etudie également (finalement) ITE sur les pignons soumis à accord des 2 voisins
Etudie également construction maison plus petite pour elle dans son jardin - type ossature bois - info isolants</v>
          </cell>
        </row>
        <row r="112">
          <cell r="A112">
            <v>44125</v>
          </cell>
          <cell r="B112" t="str">
            <v>Octobre</v>
          </cell>
          <cell r="C112">
            <v>2020</v>
          </cell>
          <cell r="D112" t="str">
            <v>MVE</v>
          </cell>
          <cell r="E112" t="str">
            <v>DARMON</v>
          </cell>
          <cell r="G112">
            <v>93140</v>
          </cell>
          <cell r="H112" t="str">
            <v>Bondy</v>
          </cell>
          <cell r="I112" t="str">
            <v>PRIS EIE</v>
          </cell>
          <cell r="J112" t="str">
            <v>Premier RDV</v>
          </cell>
          <cell r="K112" t="str">
            <v>Très Modestes</v>
          </cell>
          <cell r="L112" t="str">
            <v>darmonyouda@gmail.com</v>
          </cell>
          <cell r="M112" t="str">
            <v>06 76 68 04 06</v>
          </cell>
          <cell r="N112" t="str">
            <v>Propriétaire occupant</v>
          </cell>
          <cell r="O112" t="str">
            <v>Maison individuelle</v>
          </cell>
          <cell r="Q112" t="str">
            <v>PO TMO (bleu) - facture gaz 4000€/an  - Devis ITE sérieux 24k€ 4 facades: 3 béton et 1 pierre - mais à adapter
Pb avec une facade bordure de terrain donnant sur passage chez voisin: accord voisin 15 cm? autre produit que PSE proposé par entreprise sur facade pierre? ou enduit type isolant 3cm? car surface mur sur devis 219m² largemt sup à 100m² plafond MPR
En l'état 7500€MPR + env. 9000€ CEE reste à ch. 8000€. Aussi A vérifier isolation rampant aménagés et projet changement chaudière</v>
          </cell>
        </row>
        <row r="113">
          <cell r="A113">
            <v>44125</v>
          </cell>
          <cell r="B113" t="str">
            <v>Octobre</v>
          </cell>
          <cell r="C113">
            <v>2020</v>
          </cell>
          <cell r="D113" t="str">
            <v>MVE</v>
          </cell>
          <cell r="E113" t="str">
            <v>SAIDI / ZITA</v>
          </cell>
          <cell r="G113">
            <v>93140</v>
          </cell>
          <cell r="H113" t="str">
            <v>Bondy</v>
          </cell>
          <cell r="I113" t="str">
            <v>PRIS EIE</v>
          </cell>
          <cell r="J113" t="str">
            <v>Premier RDV</v>
          </cell>
          <cell r="K113" t="str">
            <v>Non éligibles ANAH</v>
          </cell>
          <cell r="L113" t="str">
            <v>s.houria@hotmail.fr</v>
          </cell>
          <cell r="M113" t="str">
            <v>06 62 67 93 96 20</v>
          </cell>
          <cell r="N113" t="str">
            <v>Propriétaire occupant</v>
          </cell>
          <cell r="O113" t="str">
            <v>Maison individuelle</v>
          </cell>
          <cell r="Q113" t="str">
            <v>MI 2 pers RFR 55k€ catégorie violet - ECS passé en CE PAC en 2018
Projet ITE pignons chez voisins - besoin accord   - Changement  Chaudière actuelle 20 ans ?  - Aides FI</v>
          </cell>
        </row>
        <row r="114">
          <cell r="A114">
            <v>44127</v>
          </cell>
          <cell r="B114" t="str">
            <v>Octobre</v>
          </cell>
          <cell r="C114">
            <v>2020</v>
          </cell>
          <cell r="D114" t="str">
            <v>MVE</v>
          </cell>
          <cell r="E114" t="str">
            <v>LEGAY</v>
          </cell>
          <cell r="G114">
            <v>94100</v>
          </cell>
          <cell r="H114" t="str">
            <v>Saint-Maur-des-Fossés</v>
          </cell>
          <cell r="I114" t="str">
            <v>PRIS EIE</v>
          </cell>
          <cell r="J114" t="str">
            <v>Premier RDV</v>
          </cell>
          <cell r="K114" t="str">
            <v>Non éligibles ANAH</v>
          </cell>
          <cell r="L114" t="str">
            <v>Francois.legay2@sfr.fr</v>
          </cell>
          <cell r="M114" t="str">
            <v>06 12 82 58 30</v>
          </cell>
          <cell r="N114" t="str">
            <v>Propriétaire occupant</v>
          </cell>
          <cell r="O114" t="str">
            <v>Maison individuelle</v>
          </cell>
          <cell r="Q114" t="str">
            <v>Historique PO depuis 2002travaux: combles perdues 10cm, radiateur eau, porte entrée RDC et garage ~2005/2010, fenêtres 2002
Question ppale: changement chaudière fioul pour système alternatif: gaz (raccord rue), PAC (régime HT en l'état et bruit), bois (stockage)... à creuser
Points développés: ITE pignons, reprise isolation CP et rampants? ventilation (reprise menuiseries)Travaux réno globaux (MPR+CEE)?</v>
          </cell>
        </row>
        <row r="115">
          <cell r="A115">
            <v>44127</v>
          </cell>
          <cell r="B115" t="str">
            <v>Octobre</v>
          </cell>
          <cell r="C115">
            <v>2020</v>
          </cell>
          <cell r="D115" t="str">
            <v>MVE</v>
          </cell>
          <cell r="E115" t="str">
            <v>ROUAUD 
RENOU 
MOYAL</v>
          </cell>
          <cell r="G115">
            <v>93260</v>
          </cell>
          <cell r="H115" t="str">
            <v>Les Lilas</v>
          </cell>
          <cell r="I115" t="str">
            <v>PRIS EIE</v>
          </cell>
          <cell r="J115" t="str">
            <v>Premier RDV</v>
          </cell>
          <cell r="K115" t="str">
            <v>Non éligibles ANAH</v>
          </cell>
          <cell r="L115" t="str">
            <v>p.rouaud@orange.fr 
moyalallain@gmail.com
 pol.renou@orange.fr</v>
          </cell>
          <cell r="M115" t="str">
            <v>06 25 14 70 51</v>
          </cell>
          <cell r="N115" t="str">
            <v>Propriétaire occupant</v>
          </cell>
          <cell r="O115" t="str">
            <v>Collectif</v>
          </cell>
          <cell r="Q115" t="str">
            <v>pertinence prgm travaux proposé par MOE Renova - voir coach copro</v>
          </cell>
        </row>
        <row r="116">
          <cell r="A116">
            <v>44131</v>
          </cell>
          <cell r="B116" t="str">
            <v>Octobre</v>
          </cell>
          <cell r="C116">
            <v>2020</v>
          </cell>
          <cell r="D116" t="str">
            <v>PIE Externe</v>
          </cell>
          <cell r="E116" t="str">
            <v>AUGE Catherine</v>
          </cell>
          <cell r="G116">
            <v>94100</v>
          </cell>
          <cell r="H116" t="str">
            <v>Saint-Maur-des-Fossés</v>
          </cell>
          <cell r="I116" t="str">
            <v>PRIS EIE</v>
          </cell>
          <cell r="J116" t="str">
            <v>Premier RDV</v>
          </cell>
          <cell r="K116" t="str">
            <v>Très Modestes</v>
          </cell>
          <cell r="L116" t="str">
            <v>catherine.auge0896@orange.fr</v>
          </cell>
          <cell r="M116" t="str">
            <v>06 24 64 37 81</v>
          </cell>
          <cell r="N116" t="str">
            <v>Propriétaire occupant</v>
          </cell>
          <cell r="O116" t="str">
            <v>Maison individuelle</v>
          </cell>
          <cell r="Q116" t="str">
            <v>Petite MI plein pied facade arrière mitoyenne copro, 2 pignons mitoyens murs voisins facade avant libre
2 devis: ITE 2 facade sous conditions accord copro (devis sérieux mais +200€/m² pour PSE) et fenêtre + porte. Conseil ajout VMC/ VMR car humidité chambre dans cave.
Orientation vers HMS (~55% aide) plutôt que MPR /CEE (41%) - eco PTZ</v>
          </cell>
        </row>
        <row r="117">
          <cell r="A117">
            <v>44132</v>
          </cell>
          <cell r="B117" t="str">
            <v>Octobre</v>
          </cell>
          <cell r="C117">
            <v>2020</v>
          </cell>
          <cell r="D117" t="str">
            <v>PIE Externe</v>
          </cell>
          <cell r="E117" t="str">
            <v>APRIL, Charline</v>
          </cell>
          <cell r="G117">
            <v>94100</v>
          </cell>
          <cell r="H117" t="str">
            <v>Saint-Maur-des-Fossés</v>
          </cell>
          <cell r="I117" t="str">
            <v>PRIS EIE</v>
          </cell>
          <cell r="J117" t="str">
            <v>Premier RDV</v>
          </cell>
          <cell r="K117" t="str">
            <v>Non éligibles ANAH</v>
          </cell>
          <cell r="L117" t="str">
            <v>charline.april@sfr.fr</v>
          </cell>
          <cell r="M117" t="str">
            <v>06 20 83 11 01</v>
          </cell>
          <cell r="N117" t="str">
            <v>Propriétaire occupant</v>
          </cell>
          <cell r="O117" t="str">
            <v>Maison individuelle</v>
          </cell>
          <cell r="Q117" t="str">
            <v>Dame seule projet suivi par son fils - revenu violet - Maison parpaing rectangulaire - toiture fabile inclinaison à refaire - technique à voir pe toiture terrasse
0 isolation - gain potentiel important - cloisonner garage et chaufferie RDC pour réduire volume - vielle chaudière charbon reconvertie fioul 
Description aides indiv MPR + CEE - évocation intérêt audit avec aide reno globale avantageuse</v>
          </cell>
        </row>
        <row r="118">
          <cell r="A118">
            <v>44133</v>
          </cell>
          <cell r="B118" t="str">
            <v>Octobre</v>
          </cell>
          <cell r="C118">
            <v>2020</v>
          </cell>
          <cell r="D118" t="str">
            <v>PIE Externe</v>
          </cell>
          <cell r="E118" t="str">
            <v>MAUDUIT</v>
          </cell>
          <cell r="G118">
            <v>94100</v>
          </cell>
          <cell r="H118" t="str">
            <v>Saint-Maur-des-Fossés</v>
          </cell>
          <cell r="I118" t="str">
            <v>PRIS EIE</v>
          </cell>
          <cell r="J118" t="str">
            <v>Premier RDV</v>
          </cell>
          <cell r="K118" t="str">
            <v>Non éligibles ANAH</v>
          </cell>
          <cell r="L118" t="str">
            <v>emmanuelle.mauduit@display.aero</v>
          </cell>
          <cell r="M118" t="str">
            <v>06 17 65 35 61</v>
          </cell>
          <cell r="N118" t="str">
            <v>Propriétaire occupant</v>
          </cell>
          <cell r="O118" t="str">
            <v>Maison individuelle</v>
          </cell>
          <cell r="Q118" t="str">
            <v>Achat maison meulière 3 pers RFR rose- réno totale elec + plomberie et réseaux
Isoler combles et plancher bas- fenêtres - ITI faible épaisseur ou enduit correcteur - orientation vers audit énergétique pour financement réno globale</v>
          </cell>
        </row>
        <row r="119">
          <cell r="A119">
            <v>44147</v>
          </cell>
          <cell r="B119" t="str">
            <v>Novembre</v>
          </cell>
          <cell r="C119">
            <v>2020</v>
          </cell>
          <cell r="D119" t="str">
            <v>MVE Tél</v>
          </cell>
          <cell r="E119" t="str">
            <v>ALVES</v>
          </cell>
          <cell r="G119">
            <v>94360</v>
          </cell>
          <cell r="H119" t="str">
            <v>Bry-sur-Marne</v>
          </cell>
          <cell r="I119" t="str">
            <v>PRIS EIE</v>
          </cell>
          <cell r="J119" t="str">
            <v>Premier RDV</v>
          </cell>
          <cell r="K119" t="str">
            <v>Non éligibles ANAH</v>
          </cell>
          <cell r="L119" t="str">
            <v>alvespaulo19@yahoo.fr</v>
          </cell>
          <cell r="M119" t="str">
            <v>06 61 24 06 19</v>
          </cell>
          <cell r="N119" t="str">
            <v>Propriétaire occupant</v>
          </cell>
          <cell r="O119" t="str">
            <v>Maison individuelle</v>
          </cell>
          <cell r="Q119" t="str">
            <v>réfection toiture (avec isolation mince? isolant existant 10cm) + Travaux ravalement ITE + isolation (3 murs, 1mur ITI côte voisin) - VMC recente
1 devis ITE Pse 12cm
Aides fi - RFR ~85k€ 5 pers mais revenu mère non pris en compte - à vérifier</v>
          </cell>
        </row>
        <row r="120">
          <cell r="A120">
            <v>44134</v>
          </cell>
          <cell r="B120" t="str">
            <v>Octobre</v>
          </cell>
          <cell r="C120">
            <v>2020</v>
          </cell>
          <cell r="D120" t="str">
            <v>MVE Tél</v>
          </cell>
          <cell r="E120" t="str">
            <v>(DUCRET)
CATAO</v>
          </cell>
          <cell r="G120">
            <v>94410</v>
          </cell>
          <cell r="H120" t="str">
            <v>Saint-Maurice</v>
          </cell>
          <cell r="I120" t="str">
            <v>PRIS EIE</v>
          </cell>
          <cell r="J120" t="str">
            <v>Premier RDV</v>
          </cell>
          <cell r="K120" t="str">
            <v>Non éligibles ANAH</v>
          </cell>
          <cell r="L120" t="str">
            <v>e.catao@orange.fr&gt;
hygo@hotmail.fr</v>
          </cell>
          <cell r="M120" t="str">
            <v>06 09 07 19 44</v>
          </cell>
          <cell r="N120" t="str">
            <v>Propriétaire occupant</v>
          </cell>
          <cell r="O120" t="str">
            <v>Collectif</v>
          </cell>
          <cell r="Q120" t="str">
            <v>3 copro présents Mr et Mme Hygonnet et Mme Catao: pb froid + humidité dans appartements sur même mur facade sud et adjacents
Présence de moisissures / détérioration des encadrements de fenêtre, décollement de tapisserie. 
Appartition fissures et joints visibles côté ext.
la facade de l’immeuble (en pierres) ravalé en 2012 comme le reste des murs.
fenêtres DV presque partout avec aération mais pas de VMC ni centrale ni individuel.
Hypothèse avancée: excès d'humidité intérieure pas évacué à travers mur p-être à cause mortiers et enduit étanche - mur très humide.
Vérifier avec étude expert à mandater par assurance</v>
          </cell>
        </row>
        <row r="121">
          <cell r="A121">
            <v>44134</v>
          </cell>
          <cell r="B121" t="str">
            <v>Octobre</v>
          </cell>
          <cell r="C121">
            <v>2020</v>
          </cell>
          <cell r="D121" t="str">
            <v>MVE Tél</v>
          </cell>
          <cell r="E121" t="str">
            <v xml:space="preserve">ENGERRAN </v>
          </cell>
          <cell r="G121">
            <v>94300</v>
          </cell>
          <cell r="H121" t="str">
            <v>Vincennes</v>
          </cell>
          <cell r="I121" t="str">
            <v>PRIS EIE</v>
          </cell>
          <cell r="J121" t="str">
            <v>Premier RDV</v>
          </cell>
          <cell r="K121" t="str">
            <v>Non éligibles ANAH</v>
          </cell>
          <cell r="L121" t="str">
            <v>luc.engerran1@gmail.com</v>
          </cell>
          <cell r="M121">
            <v>699677743</v>
          </cell>
          <cell r="N121" t="str">
            <v>Propriétaire occupant</v>
          </cell>
          <cell r="O121" t="str">
            <v>Maison individuelle</v>
          </cell>
          <cell r="Q121" t="str">
            <v>Etude projet PV auto conso maison + 2 maisonnette + 1 tour site potentiel.
Conso inconnu chauffage PAC  ECS PAC thermodyn abonnement 9kVA mais présence régulière journée
Réalisation étude sur base hypothèse autoconso 50%
Envoi màj Aides MPR - aussi projet fenêtres et poêle granulé</v>
          </cell>
        </row>
        <row r="122">
          <cell r="A122">
            <v>44140</v>
          </cell>
          <cell r="B122" t="str">
            <v>Novembre</v>
          </cell>
          <cell r="C122">
            <v>2020</v>
          </cell>
          <cell r="D122" t="str">
            <v>MVE Tél</v>
          </cell>
          <cell r="E122" t="str">
            <v xml:space="preserve">PASCAULT </v>
          </cell>
          <cell r="G122">
            <v>94300</v>
          </cell>
          <cell r="H122" t="str">
            <v>Vincennes</v>
          </cell>
          <cell r="I122" t="str">
            <v>PRIS EIE</v>
          </cell>
          <cell r="J122" t="str">
            <v>Suivi (2ème RDV)</v>
          </cell>
          <cell r="K122" t="str">
            <v>Modestes</v>
          </cell>
          <cell r="L122" t="str">
            <v>flore.pascault@gmail.com</v>
          </cell>
          <cell r="M122" t="str">
            <v>06 31 51 17 71</v>
          </cell>
          <cell r="N122" t="str">
            <v>Propriétaire occupant</v>
          </cell>
          <cell r="O122" t="str">
            <v>Collectif</v>
          </cell>
          <cell r="Q122" t="str">
            <v>Copro rénovation complète et Isolation de la toiture d'origine - petits travaux successifs de réfections depuis 1999 - multiples fuites
dernière AG septembre 2020 -  3 devis préselectionnés -  budget travaux votés - avis d'architecte sollicités par le passé mais pas de MOE 
début travaux septembre 2021
aides collectifs CEE et potentiellement cumulable Anah individuellement</v>
          </cell>
        </row>
        <row r="123">
          <cell r="A123">
            <v>44141</v>
          </cell>
          <cell r="B123" t="str">
            <v>Novembre</v>
          </cell>
          <cell r="C123">
            <v>2020</v>
          </cell>
          <cell r="D123" t="str">
            <v>PIE Externe Tél</v>
          </cell>
          <cell r="E123" t="str">
            <v>BEN-OUIRANE, RIDA</v>
          </cell>
          <cell r="G123">
            <v>94340</v>
          </cell>
          <cell r="H123" t="str">
            <v>Joinville-le-Pont</v>
          </cell>
          <cell r="I123" t="str">
            <v>PRIS EIE</v>
          </cell>
          <cell r="J123" t="str">
            <v>RDV non présenté le jour J</v>
          </cell>
          <cell r="K123" t="str">
            <v>Non éligibles ANAH</v>
          </cell>
          <cell r="L123" t="str">
            <v>ouirane@hotmail.fr</v>
          </cell>
          <cell r="M123" t="str">
            <v>06 10 90 87 17</v>
          </cell>
          <cell r="N123" t="str">
            <v>Propriétaire bailleur</v>
          </cell>
          <cell r="O123" t="str">
            <v>Collectif</v>
          </cell>
          <cell r="Q123" t="str">
            <v xml:space="preserve">n'as pas répondu </v>
          </cell>
        </row>
        <row r="124">
          <cell r="A124">
            <v>44141</v>
          </cell>
          <cell r="B124" t="str">
            <v>Novembre</v>
          </cell>
          <cell r="C124">
            <v>2020</v>
          </cell>
          <cell r="D124" t="str">
            <v>PIE Externe Tél</v>
          </cell>
          <cell r="E124" t="str">
            <v>DELION Constance</v>
          </cell>
          <cell r="G124">
            <v>94340</v>
          </cell>
          <cell r="H124" t="str">
            <v>Joinville-le-Pont</v>
          </cell>
          <cell r="I124" t="str">
            <v>PRIS EIE</v>
          </cell>
          <cell r="J124" t="str">
            <v>Premier RDV</v>
          </cell>
          <cell r="K124" t="str">
            <v>Non éligibles ANAH</v>
          </cell>
          <cell r="L124" t="str">
            <v>constdul@yahoo.fr</v>
          </cell>
          <cell r="M124" t="str">
            <v>06 98 25 88 66</v>
          </cell>
          <cell r="N124" t="str">
            <v>Propriétaire occupant</v>
          </cell>
          <cell r="O124" t="str">
            <v>Maison individuelle</v>
          </cell>
          <cell r="Q124" t="str">
            <v>achat courant 2020 MI année 50  à joinville - ITE existant 8cm PSE sur parpaing au R+1 
rénovation globale avec surrélevation: isolation intérieur sous-sol,,changement de chaudière - pas de raccordement gaz existant . conseils technique choix du système de chauffage et point sur les aides financières  RFR:110.000 /3pers  (rose)</v>
          </cell>
        </row>
        <row r="125">
          <cell r="A125">
            <v>44141</v>
          </cell>
          <cell r="B125" t="str">
            <v>Novembre</v>
          </cell>
          <cell r="C125">
            <v>2020</v>
          </cell>
          <cell r="D125" t="str">
            <v>PIE Externe Tél</v>
          </cell>
          <cell r="E125" t="str">
            <v>KURKDJIAN Carolle</v>
          </cell>
          <cell r="G125">
            <v>94340</v>
          </cell>
          <cell r="H125" t="str">
            <v>Joinville-le-Pont</v>
          </cell>
          <cell r="I125" t="str">
            <v>PRIS EIE</v>
          </cell>
          <cell r="J125" t="str">
            <v>Premier RDV</v>
          </cell>
          <cell r="K125" t="str">
            <v>Non éligibles ANAH</v>
          </cell>
          <cell r="L125" t="str">
            <v>carolle.kurkdjian@wanadoo.fr</v>
          </cell>
          <cell r="M125" t="str">
            <v>06 73 53 61 99</v>
          </cell>
          <cell r="N125" t="str">
            <v>Propriétaire occupant</v>
          </cell>
          <cell r="O125" t="str">
            <v>Maison individuelle</v>
          </cell>
          <cell r="Q125" t="str">
            <v>MI année 30 brique pleine : 59140/3 personnes 
Problème avec voisin sur face arrière a construit MI non déclaré puis détruit - dégats sur étanchéité bas de mur cause pb infiltration d'eau - ITE pas ennvisagé
réfection toiture fuyarde et poutre pourries et ravalement de facade récent - problèmes infiltrations eau résolus normalement
Pb humidité R+1: dégats murs, peintures ect.. VMC installée SDB récemment en complément DV aération devrait solutionner pb 
isolation des murs considéré par (ITI) au R+1, isolation rampants plus mur en combles - retirer cloisons et déshumidifier au préalable - aides FI - PRH</v>
          </cell>
        </row>
        <row r="126">
          <cell r="A126">
            <v>44148</v>
          </cell>
          <cell r="B126" t="str">
            <v>Novembre</v>
          </cell>
          <cell r="C126">
            <v>2020</v>
          </cell>
          <cell r="D126" t="str">
            <v>PIE Externe</v>
          </cell>
          <cell r="E126" t="str">
            <v>PASSANI, Gilles</v>
          </cell>
          <cell r="G126">
            <v>94170</v>
          </cell>
          <cell r="H126" t="str">
            <v>Le Perreux-sur-Marne</v>
          </cell>
          <cell r="I126" t="str">
            <v>PRIS EIE</v>
          </cell>
          <cell r="J126" t="str">
            <v>RDV non présenté le jour J</v>
          </cell>
          <cell r="K126" t="str">
            <v>Non éligibles ANAH</v>
          </cell>
          <cell r="L126" t="str">
            <v>crea@gilles-passani.com</v>
          </cell>
          <cell r="M126" t="str">
            <v>06 62 82 66 58</v>
          </cell>
          <cell r="N126" t="str">
            <v>Propriétaire occupant</v>
          </cell>
          <cell r="O126" t="str">
            <v>Collectif</v>
          </cell>
          <cell r="Q126" t="str">
            <v>annulé</v>
          </cell>
        </row>
        <row r="127">
          <cell r="A127">
            <v>44148</v>
          </cell>
          <cell r="B127" t="str">
            <v>Novembre</v>
          </cell>
          <cell r="C127">
            <v>2020</v>
          </cell>
          <cell r="D127" t="str">
            <v>PIE Externe</v>
          </cell>
          <cell r="E127" t="str">
            <v>BOUKARAOUN Hacene</v>
          </cell>
          <cell r="G127">
            <v>94350</v>
          </cell>
          <cell r="H127" t="str">
            <v>Villiers-sur-Marne</v>
          </cell>
          <cell r="I127" t="str">
            <v>PRIS EIE</v>
          </cell>
          <cell r="J127" t="str">
            <v>Premier RDV</v>
          </cell>
          <cell r="K127" t="str">
            <v>Très Modestes</v>
          </cell>
          <cell r="L127" t="str">
            <v>hboukara@msn.com</v>
          </cell>
          <cell r="M127" t="str">
            <v>06 10 53 30 50</v>
          </cell>
          <cell r="N127" t="str">
            <v>Propriétaire occupant</v>
          </cell>
          <cell r="O127" t="str">
            <v>Maison individuelle</v>
          </cell>
          <cell r="Q127" t="str">
            <v>MI 130m² 1925 - 2  pers bleu
projet ITE précaution pas de PSE et retrait préalable ligne tel. Chauffage fioul et ECS ballon thermo 1985 - devis PAC duo ok - a sollicité autres pros 4x arnaques</v>
          </cell>
        </row>
        <row r="128">
          <cell r="A128">
            <v>44148</v>
          </cell>
          <cell r="B128" t="str">
            <v>Novembre</v>
          </cell>
          <cell r="C128">
            <v>2020</v>
          </cell>
          <cell r="D128" t="str">
            <v>PIE Externe</v>
          </cell>
          <cell r="E128" t="str">
            <v>MIRAT Catherine</v>
          </cell>
          <cell r="G128">
            <v>94170</v>
          </cell>
          <cell r="H128" t="str">
            <v>Le Perreux-sur-Marne</v>
          </cell>
          <cell r="I128" t="str">
            <v>PRIS EIE</v>
          </cell>
          <cell r="J128" t="str">
            <v>Premier RDV</v>
          </cell>
          <cell r="K128" t="str">
            <v>Modestes</v>
          </cell>
          <cell r="L128" t="str">
            <v>catherine.mirat@laposte.net</v>
          </cell>
          <cell r="M128" t="str">
            <v>06 66 63 69 92</v>
          </cell>
          <cell r="N128" t="str">
            <v>Propriétaire occupant</v>
          </cell>
          <cell r="O128" t="str">
            <v>Maison individuelle</v>
          </cell>
          <cell r="Q128" t="str">
            <v>Bloc de 2 maisons mitoyenne situé proche de la marne - zone inondable. Problèmes de fissures tout le long de la façade - probablement lié au mouvement du sol avec variation d'humidité. Projet ITE au moins pignon (mitoyenneté pb de faisa sur facades?) et combles perdues. Jaune</v>
          </cell>
        </row>
        <row r="129">
          <cell r="A129">
            <v>44155</v>
          </cell>
          <cell r="B129" t="str">
            <v>Novembre</v>
          </cell>
          <cell r="C129">
            <v>2020</v>
          </cell>
          <cell r="D129" t="str">
            <v>MVE Tél</v>
          </cell>
          <cell r="E129" t="str">
            <v>ANTOINE</v>
          </cell>
          <cell r="G129">
            <v>93260</v>
          </cell>
          <cell r="H129" t="str">
            <v>Les Lilas</v>
          </cell>
          <cell r="I129" t="str">
            <v>PRIS EIE</v>
          </cell>
          <cell r="J129" t="str">
            <v>Premier RDV</v>
          </cell>
          <cell r="K129" t="str">
            <v>Non éligibles ANAH</v>
          </cell>
          <cell r="L129" t="str">
            <v>jeanfantoine@yahoo.fr</v>
          </cell>
          <cell r="M129" t="str">
            <v xml:space="preserve">06 21 60 34 74 </v>
          </cell>
          <cell r="N129" t="str">
            <v>Propriétaire occupant</v>
          </cell>
          <cell r="O129" t="str">
            <v>Collectif</v>
          </cell>
          <cell r="Q129" t="str">
            <v>voir sur Coach Copro</v>
          </cell>
        </row>
        <row r="130">
          <cell r="A130">
            <v>44155</v>
          </cell>
          <cell r="B130" t="str">
            <v>Novembre</v>
          </cell>
          <cell r="C130">
            <v>2020</v>
          </cell>
          <cell r="D130" t="str">
            <v>MVE Tél</v>
          </cell>
          <cell r="E130" t="str">
            <v>GINET</v>
          </cell>
          <cell r="G130">
            <v>93170</v>
          </cell>
          <cell r="H130" t="str">
            <v>Bagnolet</v>
          </cell>
          <cell r="I130" t="str">
            <v>PRIS EIE</v>
          </cell>
          <cell r="J130" t="str">
            <v>Premier RDV</v>
          </cell>
          <cell r="K130" t="str">
            <v>Non éligibles ANAH</v>
          </cell>
          <cell r="L130" t="str">
            <v>isaginet@orange.fr</v>
          </cell>
          <cell r="M130" t="str">
            <v>06 23 76 36 94</v>
          </cell>
          <cell r="N130" t="str">
            <v>Propriétaire occupant</v>
          </cell>
          <cell r="O130" t="str">
            <v>Collectif</v>
          </cell>
          <cell r="Q130" t="str">
            <v>voir sur Coach Copro</v>
          </cell>
        </row>
        <row r="131">
          <cell r="A131">
            <v>44159</v>
          </cell>
          <cell r="B131" t="str">
            <v>Novembre</v>
          </cell>
          <cell r="C131">
            <v>2020</v>
          </cell>
          <cell r="D131" t="str">
            <v>PIE Externe</v>
          </cell>
          <cell r="E131" t="str">
            <v>GIRAUD</v>
          </cell>
          <cell r="G131">
            <v>94100</v>
          </cell>
          <cell r="H131" t="str">
            <v>Saint-Maur-des-Fossés</v>
          </cell>
          <cell r="I131" t="str">
            <v>PRIS EIE</v>
          </cell>
          <cell r="J131" t="str">
            <v>Premier RDV</v>
          </cell>
          <cell r="K131" t="str">
            <v>Non éligibles ANAH</v>
          </cell>
          <cell r="L131" t="str">
            <v>atravaux@gmail.com</v>
          </cell>
          <cell r="M131" t="str">
            <v>06 60 47 50 34</v>
          </cell>
          <cell r="N131" t="str">
            <v>Autre</v>
          </cell>
          <cell r="O131" t="str">
            <v>Micro-collectif (&lt;5logts)</v>
          </cell>
          <cell r="Q131" t="str">
            <v>pro AMO - infos aides différents cas copro et HI</v>
          </cell>
        </row>
        <row r="132">
          <cell r="A132">
            <v>44159</v>
          </cell>
          <cell r="B132" t="str">
            <v>Novembre</v>
          </cell>
          <cell r="C132">
            <v>2020</v>
          </cell>
          <cell r="D132" t="str">
            <v>PIE Externe</v>
          </cell>
          <cell r="E132" t="str">
            <v>DRAY Jacqueline</v>
          </cell>
          <cell r="G132">
            <v>94100</v>
          </cell>
          <cell r="H132" t="str">
            <v>Saint-Maur-des-Fossés</v>
          </cell>
          <cell r="I132" t="str">
            <v>PRIS EIE</v>
          </cell>
          <cell r="J132" t="str">
            <v>Premier RDV</v>
          </cell>
          <cell r="K132" t="str">
            <v>Non éligibles ANAH</v>
          </cell>
          <cell r="L132" t="str">
            <v>jacqueline.dray@gmail.com</v>
          </cell>
          <cell r="M132" t="str">
            <v>06 77 90 34 47</v>
          </cell>
          <cell r="N132" t="str">
            <v>Propriétaire occupant</v>
          </cell>
          <cell r="O132" t="str">
            <v>Maison individuelle</v>
          </cell>
          <cell r="Q132" t="str">
            <v>Maison en pierre mur 50cm complètement refaite en 1990 avec ajout extension parpaing- PO depuis 1992.
étage très chaud en haut - une partie directement sous rampant. Etude architecte de 2007 avec préconisations (dont IMR rampants car poutres apparentes) - Réisolation combles rampants et perdus</v>
          </cell>
        </row>
        <row r="133">
          <cell r="A133">
            <v>44159</v>
          </cell>
          <cell r="B133" t="str">
            <v>Novembre</v>
          </cell>
          <cell r="C133">
            <v>2020</v>
          </cell>
          <cell r="D133" t="str">
            <v>PIE Externe</v>
          </cell>
          <cell r="E133" t="str">
            <v>SAUGY</v>
          </cell>
          <cell r="G133">
            <v>94100</v>
          </cell>
          <cell r="H133" t="str">
            <v>Saint-Maur-des-Fossés</v>
          </cell>
          <cell r="I133" t="str">
            <v>PRIS EIE</v>
          </cell>
          <cell r="J133" t="str">
            <v>Premier RDV</v>
          </cell>
          <cell r="K133" t="str">
            <v>Non éligibles ANAH</v>
          </cell>
          <cell r="L133" t="str">
            <v>sasun.saugy@wanadoo.fr</v>
          </cell>
          <cell r="M133" t="str">
            <v>06 09 17 21 72</v>
          </cell>
          <cell r="N133" t="str">
            <v>Propriétaire occupant</v>
          </cell>
          <cell r="O133" t="str">
            <v>Maison individuelle</v>
          </cell>
          <cell r="Q133" t="str">
            <v>MI années 1930 mur pierre et brique - rose
Projet ITE 138 m² - 2 devis 1 nul pas RGE l'autre PSE ~270€/mé très cher et pas adapté.
nouveaux devis avec avec ldR ou Fibre bois</v>
          </cell>
        </row>
        <row r="134">
          <cell r="A134">
            <v>44162</v>
          </cell>
          <cell r="B134" t="str">
            <v>Novembre</v>
          </cell>
          <cell r="C134">
            <v>2020</v>
          </cell>
          <cell r="D134" t="str">
            <v>MVE Tél</v>
          </cell>
          <cell r="E134" t="str">
            <v xml:space="preserve">GUIGNOT </v>
          </cell>
          <cell r="G134">
            <v>94350</v>
          </cell>
          <cell r="H134" t="str">
            <v>Villiers-sur-Marne</v>
          </cell>
          <cell r="I134" t="str">
            <v>PRIS EIE</v>
          </cell>
          <cell r="J134" t="str">
            <v>Premier RDV</v>
          </cell>
          <cell r="K134" t="str">
            <v>Non éligibles ANAH</v>
          </cell>
          <cell r="L134" t="str">
            <v>loic.guignot@hotmail.fr</v>
          </cell>
          <cell r="M134" t="str">
            <v>06 81 87 11 39</v>
          </cell>
          <cell r="N134" t="str">
            <v>Propriétaire occupant</v>
          </cell>
          <cell r="O134" t="str">
            <v>Maison individuelle</v>
          </cell>
          <cell r="Q134" t="str">
            <v xml:space="preserve">MI achat 2014 - 3 niveaux dont sous sol aménagé - 3pers RFR 67990€ - rose
Projet: Isolation murs ITE, VMC (humidité)  - (1 pignon chez voisine) - secondaire: fenêtres (DV déja posé en réno sans joints), fioul condensation 2009, toiture rampants </v>
          </cell>
        </row>
        <row r="135">
          <cell r="A135">
            <v>44162</v>
          </cell>
          <cell r="B135" t="str">
            <v>Novembre</v>
          </cell>
          <cell r="C135">
            <v>2020</v>
          </cell>
          <cell r="D135" t="str">
            <v>MVE Tél</v>
          </cell>
          <cell r="E135" t="str">
            <v xml:space="preserve">JAMALI </v>
          </cell>
          <cell r="G135">
            <v>94170</v>
          </cell>
          <cell r="H135" t="str">
            <v>Le Perreux-sur-Marne</v>
          </cell>
          <cell r="I135" t="str">
            <v>PRIS EIE</v>
          </cell>
          <cell r="J135" t="str">
            <v>Premier RDV</v>
          </cell>
          <cell r="K135" t="str">
            <v>Non éligibles ANAH</v>
          </cell>
          <cell r="L135" t="str">
            <v>davoudjamali@gmail.com</v>
          </cell>
          <cell r="M135" t="str">
            <v>06 21 75 58 15</v>
          </cell>
          <cell r="N135" t="str">
            <v>Propriétaire occupant</v>
          </cell>
          <cell r="O135" t="str">
            <v>Maison individuelle</v>
          </cell>
          <cell r="Q135" t="str">
            <v>PO MI bati années 30 - 3pers 46k€ - violet
Devis réno toiture avec isolant R=6 (ldv 10cm R=3.15 + ATO R=3.08 avec lame air 2cm chq côté)  + ITE laine de roche  - Aides CITE + CEE</v>
          </cell>
        </row>
        <row r="136">
          <cell r="A136">
            <v>44169</v>
          </cell>
          <cell r="B136" t="str">
            <v>Décembre</v>
          </cell>
          <cell r="C136">
            <v>2020</v>
          </cell>
          <cell r="D136" t="str">
            <v>PIE Externe</v>
          </cell>
          <cell r="E136" t="str">
            <v>THOMASSET</v>
          </cell>
          <cell r="G136">
            <v>94340</v>
          </cell>
          <cell r="H136" t="str">
            <v>Joinville-le-Pont</v>
          </cell>
          <cell r="I136" t="str">
            <v>PRIS EIE</v>
          </cell>
          <cell r="J136" t="str">
            <v>Premier RDV</v>
          </cell>
          <cell r="K136" t="str">
            <v>Non éligibles ANAH</v>
          </cell>
          <cell r="L136" t="str">
            <v>ethomasset@gmail.com</v>
          </cell>
          <cell r="M136" t="str">
            <v>06 28 90 01 40</v>
          </cell>
          <cell r="N136" t="str">
            <v>Propriétaire occupant</v>
          </cell>
          <cell r="O136" t="str">
            <v>Maison individuelle</v>
          </cell>
          <cell r="Q136" t="str">
            <v>MI 1930 - refaite années 80 avec  extension parpaing arrière avec dôme et verrière - 3m HSP  grande cage d'escalier sur 3 niveaux - gros volumes
chaudière gaz 20 ans radiateurs sur chauffage centrales fonte - dernier étage non raccordé - élec
projet: isolation de certains murs: PSE 2cm, ou chbre ldv 8cm - souhait ITE sur les côtés (pas de sytnthétique)
types de chauffage: gaz?(info fin gaz dans le neuf 2021), PAC air-eau? chaudière bois?</v>
          </cell>
        </row>
        <row r="137">
          <cell r="A137">
            <v>44169</v>
          </cell>
          <cell r="B137" t="str">
            <v>Décembre</v>
          </cell>
          <cell r="C137">
            <v>2020</v>
          </cell>
          <cell r="D137" t="str">
            <v>PIE Externe</v>
          </cell>
          <cell r="E137" t="str">
            <v>DAUPHIN</v>
          </cell>
          <cell r="G137">
            <v>94340</v>
          </cell>
          <cell r="H137" t="str">
            <v>Joinville-le-Pont</v>
          </cell>
          <cell r="I137" t="str">
            <v>PRIS EIE</v>
          </cell>
          <cell r="J137" t="str">
            <v>Premier RDV</v>
          </cell>
          <cell r="K137" t="str">
            <v>Non éligibles ANAH</v>
          </cell>
          <cell r="L137" t="str">
            <v>jacques.dauphin@yahoo.fr</v>
          </cell>
          <cell r="M137" t="str">
            <v>06 68 67 09 36</v>
          </cell>
          <cell r="N137" t="str">
            <v>Propriétaire occupant</v>
          </cell>
          <cell r="O137" t="str">
            <v>Maison individuelle</v>
          </cell>
          <cell r="Q137" t="str">
            <v>MI 1930 brique + extension partie droite 1960 - PO depuis début années 90 - rfr 70k€ 2pers rose - étiquette actuelle E
fenêtres changées -  travaux envisagés: réisolation rampants toiture (à phaser avec changement toiture) + changement baies véranda + isolation plafond garage
isolation mur pas envisagés ni VMC - info aides financières</v>
          </cell>
        </row>
        <row r="138">
          <cell r="A138">
            <v>44169</v>
          </cell>
          <cell r="B138" t="str">
            <v>Décembre</v>
          </cell>
          <cell r="C138">
            <v>2020</v>
          </cell>
          <cell r="D138" t="str">
            <v>PIE Externe</v>
          </cell>
          <cell r="E138" t="str">
            <v xml:space="preserve">CHAMBON </v>
          </cell>
          <cell r="G138">
            <v>94340</v>
          </cell>
          <cell r="H138" t="str">
            <v>Joinville-le-Pont</v>
          </cell>
          <cell r="I138" t="str">
            <v>PRIS EIE</v>
          </cell>
          <cell r="J138" t="str">
            <v>RDV non présenté le jour J</v>
          </cell>
          <cell r="K138" t="str">
            <v>Non éligibles ANAH</v>
          </cell>
          <cell r="L138" t="str">
            <v>gigi.chambon@gmail.com</v>
          </cell>
          <cell r="M138" t="str">
            <v>06 64 05 06 61</v>
          </cell>
          <cell r="N138" t="str">
            <v>Propriétaire occupant</v>
          </cell>
          <cell r="O138" t="str">
            <v>Maison individuelle</v>
          </cell>
          <cell r="Q138" t="str">
            <v>RDV annulé</v>
          </cell>
        </row>
        <row r="139">
          <cell r="A139">
            <v>44176</v>
          </cell>
          <cell r="B139" t="str">
            <v>Décembre</v>
          </cell>
          <cell r="C139">
            <v>2020</v>
          </cell>
          <cell r="D139" t="str">
            <v>PIE Externe</v>
          </cell>
          <cell r="E139" t="str">
            <v>BEAUVILLIER</v>
          </cell>
          <cell r="G139">
            <v>94170</v>
          </cell>
          <cell r="H139" t="str">
            <v>Le Perreux-sur-Marne</v>
          </cell>
          <cell r="I139" t="str">
            <v>PRIS EIE</v>
          </cell>
          <cell r="J139" t="str">
            <v>Premier RDV</v>
          </cell>
          <cell r="K139" t="str">
            <v>Non éligibles ANAH</v>
          </cell>
          <cell r="L139" t="str">
            <v>beryle.beauvillier@orange.com</v>
          </cell>
          <cell r="M139" t="str">
            <v>06 07 74 32 28</v>
          </cell>
          <cell r="N139" t="str">
            <v>Propriétaire occupant</v>
          </cell>
          <cell r="O139" t="str">
            <v>Maison individuelle</v>
          </cell>
          <cell r="Q139" t="str">
            <v>PO MI plein pied 1956 2pers RFR Rose- doute mur béton mâchefer? RDC parement moellon 
Etage : facade avec ornements arts-déco : corniches aux étages et paremetns briques fenêtres à conserver
Historique : Aménagement intérieur + chaudière + fenêtres PVC
Ravalement nécessaire - Souhait isoler facadesEtage nord et nord-ouest - Toiture terrasse à isoler PUR 10cm - Contact avec pro de confiance</v>
          </cell>
        </row>
        <row r="140">
          <cell r="A140">
            <v>44176</v>
          </cell>
          <cell r="B140" t="str">
            <v>Décembre</v>
          </cell>
          <cell r="C140">
            <v>2020</v>
          </cell>
          <cell r="D140" t="str">
            <v>PIE Externe</v>
          </cell>
          <cell r="E140" t="str">
            <v>ABCHICHE</v>
          </cell>
          <cell r="G140">
            <v>94500</v>
          </cell>
          <cell r="H140" t="str">
            <v>Champigny-sur-Marne</v>
          </cell>
          <cell r="I140" t="str">
            <v>PRIS EIE</v>
          </cell>
          <cell r="J140" t="str">
            <v>Premier RDV</v>
          </cell>
          <cell r="K140" t="str">
            <v>Très Modestes</v>
          </cell>
          <cell r="L140" t="str">
            <v>samira.abchiche@gmail.com</v>
          </cell>
          <cell r="M140" t="str">
            <v>06 25 81 63 68</v>
          </cell>
          <cell r="N140" t="str">
            <v>Propriétaire occupant</v>
          </cell>
          <cell r="O140" t="str">
            <v>Maison individuelle</v>
          </cell>
          <cell r="Q140" t="str">
            <v>(Fait les démarches pour ses parents TMO) MI 1987 120m²-  mur isolé PSE (5-8 cm?) et isolation des combles perdues à 1 € toute récente ainsi que plafond garage
conv élec changés au RDC récemment pas au R+1. Grd espace ouvert RDC ancienne cheminée démontée mais conduit permettant installer poêle à granulés. Egalement pb courant d'air fenêtre DV bois d'origine vétuste - coule lorsqu'il pleut. - Etudier possibilité HM Anah avec fenêtre + poêle et pe VMC?</v>
          </cell>
        </row>
        <row r="141">
          <cell r="A141">
            <v>44180</v>
          </cell>
          <cell r="B141" t="str">
            <v>Décembre</v>
          </cell>
          <cell r="C141">
            <v>2020</v>
          </cell>
          <cell r="D141" t="str">
            <v>PIE Externe</v>
          </cell>
          <cell r="E141" t="str">
            <v>FEVRIER</v>
          </cell>
          <cell r="G141">
            <v>94100</v>
          </cell>
          <cell r="H141" t="str">
            <v>Saint-Maur-des-Fossés</v>
          </cell>
          <cell r="I141" t="str">
            <v>PRIS EIE</v>
          </cell>
          <cell r="J141" t="str">
            <v>Premier RDV</v>
          </cell>
          <cell r="K141" t="str">
            <v>Non éligibles ANAH</v>
          </cell>
          <cell r="L141" t="str">
            <v>gab.fev@gmail.com</v>
          </cell>
          <cell r="M141" t="str">
            <v>06 80 40 24 89</v>
          </cell>
          <cell r="N141" t="str">
            <v>Copropriétaire Occupant</v>
          </cell>
          <cell r="O141" t="str">
            <v>Collectif</v>
          </cell>
          <cell r="Q141" t="str">
            <v>voir Coach copro</v>
          </cell>
        </row>
        <row r="142">
          <cell r="A142">
            <v>44180</v>
          </cell>
          <cell r="B142" t="str">
            <v>Décembre</v>
          </cell>
          <cell r="C142">
            <v>2020</v>
          </cell>
          <cell r="D142" t="str">
            <v>PIE Externe</v>
          </cell>
          <cell r="E142" t="str">
            <v>FONTENEAU</v>
          </cell>
          <cell r="G142">
            <v>94100</v>
          </cell>
          <cell r="H142" t="str">
            <v>Saint-Maur-des-Fossés</v>
          </cell>
          <cell r="I142" t="str">
            <v>PRIS EIE</v>
          </cell>
          <cell r="J142" t="str">
            <v>Premier RDV</v>
          </cell>
          <cell r="K142" t="str">
            <v>Non éligibles ANAH</v>
          </cell>
          <cell r="L142" t="str">
            <v>conseilsyndical94100@gmail.com</v>
          </cell>
          <cell r="M142" t="str">
            <v>06 60 24 92 33</v>
          </cell>
          <cell r="N142" t="str">
            <v>Copropriétaire Occupant</v>
          </cell>
          <cell r="O142" t="str">
            <v>Collectif</v>
          </cell>
          <cell r="Q142" t="str">
            <v>voir Coach copro</v>
          </cell>
        </row>
        <row r="143">
          <cell r="A143">
            <v>44180</v>
          </cell>
          <cell r="B143" t="str">
            <v>Décembre</v>
          </cell>
          <cell r="C143">
            <v>2020</v>
          </cell>
          <cell r="D143" t="str">
            <v>PIE Externe</v>
          </cell>
          <cell r="E143" t="str">
            <v>BERGAULT</v>
          </cell>
          <cell r="G143">
            <v>94100</v>
          </cell>
          <cell r="H143" t="str">
            <v>Saint-Maur-des-Fossés</v>
          </cell>
          <cell r="I143" t="str">
            <v>PRIS EIE</v>
          </cell>
          <cell r="J143" t="str">
            <v>Premier RDV</v>
          </cell>
          <cell r="K143" t="str">
            <v>Très Modestes</v>
          </cell>
          <cell r="L143" t="str">
            <v>magaliebergault@gmail.com</v>
          </cell>
          <cell r="M143" t="str">
            <v>06 68 33 21 34</v>
          </cell>
          <cell r="N143" t="str">
            <v>PO</v>
          </cell>
          <cell r="O143" t="str">
            <v>Maison individuelle</v>
          </cell>
          <cell r="Q143" t="str">
            <v>SCI 97% MI meulière 3pers RFR bleu- projet Isolation comble aménagées + chaudière +ECS ballon élec (vers mixte ou CET?)
Aides: SCI nok MPR et tout les membres de la SCI doivent être éligibles Anah - Nok - reste Aides CEE + Eco PTZ</v>
          </cell>
        </row>
        <row r="144">
          <cell r="A144">
            <v>44175</v>
          </cell>
          <cell r="B144" t="str">
            <v>Décembre</v>
          </cell>
          <cell r="C144">
            <v>2020</v>
          </cell>
          <cell r="D144" t="str">
            <v>PIE Externe Tél</v>
          </cell>
          <cell r="E144" t="str">
            <v>LOURENCO</v>
          </cell>
          <cell r="G144">
            <v>94350</v>
          </cell>
          <cell r="H144" t="str">
            <v>Villiers-sur-Marne</v>
          </cell>
          <cell r="I144" t="str">
            <v>PRIS EIE</v>
          </cell>
          <cell r="J144" t="str">
            <v>Premier RDV</v>
          </cell>
          <cell r="K144" t="str">
            <v>Non éligibles ANAH</v>
          </cell>
          <cell r="L144" t="str">
            <v>jorgemanuel.lourenco@gmail.com</v>
          </cell>
          <cell r="M144" t="str">
            <v>06 19 29 50 08</v>
          </cell>
          <cell r="N144" t="str">
            <v>Propriétaire occupant</v>
          </cell>
          <cell r="O144" t="str">
            <v>Maison individuelle</v>
          </cell>
          <cell r="Q144" t="str">
            <v>PO depuis fin 2016 MI meulière 1927 DPE à l'origine D - cave semi enterrée 
chaudière mixte gaz avec ballon - pense à intégrer un CET hybride pour découpler
devis avec entrepreneur / a sollicité un thermicien (connaissance)
toiture: pas d'isolation - choix entre: isolation intérieur (provisoire) avec continuité bas mur + pignons  R+2 ou sarking isolation mousse PUR 7.75 + ldr entre chevrons et refection toiture
Isolation plancher bas cave - info aides + Eco PTZ</v>
          </cell>
        </row>
        <row r="145">
          <cell r="B145" t="str">
            <v/>
          </cell>
          <cell r="C145" t="str">
            <v/>
          </cell>
          <cell r="E145" t="str">
            <v>MARCHAL</v>
          </cell>
          <cell r="G145">
            <v>94100</v>
          </cell>
          <cell r="H145" t="str">
            <v>Saint-Maur-des-Fossés</v>
          </cell>
        </row>
        <row r="146">
          <cell r="B146" t="str">
            <v/>
          </cell>
          <cell r="C146" t="str">
            <v/>
          </cell>
          <cell r="E146" t="str">
            <v>JOURDAIN</v>
          </cell>
          <cell r="G146">
            <v>94700</v>
          </cell>
          <cell r="H146" t="str">
            <v>Maisons-Alfort</v>
          </cell>
        </row>
        <row r="147">
          <cell r="B147" t="str">
            <v/>
          </cell>
          <cell r="C147" t="str">
            <v/>
          </cell>
          <cell r="H147" t="str">
            <v/>
          </cell>
        </row>
        <row r="148">
          <cell r="B148" t="str">
            <v/>
          </cell>
          <cell r="C148" t="str">
            <v/>
          </cell>
          <cell r="H148" t="str">
            <v/>
          </cell>
        </row>
        <row r="149">
          <cell r="B149" t="str">
            <v/>
          </cell>
          <cell r="C149" t="str">
            <v/>
          </cell>
          <cell r="H149" t="str">
            <v/>
          </cell>
        </row>
        <row r="150">
          <cell r="B150" t="str">
            <v/>
          </cell>
          <cell r="C150" t="str">
            <v/>
          </cell>
          <cell r="H150" t="str">
            <v/>
          </cell>
        </row>
        <row r="151">
          <cell r="B151" t="str">
            <v/>
          </cell>
          <cell r="C151" t="str">
            <v/>
          </cell>
          <cell r="H151" t="str">
            <v/>
          </cell>
        </row>
        <row r="152">
          <cell r="B152" t="str">
            <v/>
          </cell>
          <cell r="C152" t="str">
            <v/>
          </cell>
          <cell r="H152" t="str">
            <v/>
          </cell>
        </row>
        <row r="153">
          <cell r="B153" t="str">
            <v/>
          </cell>
          <cell r="C153" t="str">
            <v/>
          </cell>
          <cell r="H153" t="str">
            <v/>
          </cell>
        </row>
        <row r="154">
          <cell r="B154" t="str">
            <v/>
          </cell>
          <cell r="C154" t="str">
            <v/>
          </cell>
          <cell r="H154" t="str">
            <v/>
          </cell>
        </row>
        <row r="155">
          <cell r="B155" t="str">
            <v/>
          </cell>
          <cell r="C155" t="str">
            <v/>
          </cell>
          <cell r="H155" t="str">
            <v/>
          </cell>
        </row>
        <row r="156">
          <cell r="B156" t="str">
            <v/>
          </cell>
          <cell r="C156" t="str">
            <v/>
          </cell>
          <cell r="H156" t="str">
            <v/>
          </cell>
        </row>
        <row r="157">
          <cell r="B157" t="str">
            <v/>
          </cell>
          <cell r="C157" t="str">
            <v/>
          </cell>
          <cell r="H157" t="str">
            <v/>
          </cell>
        </row>
        <row r="158">
          <cell r="B158" t="str">
            <v/>
          </cell>
          <cell r="C158" t="str">
            <v/>
          </cell>
          <cell r="H158" t="str">
            <v/>
          </cell>
        </row>
        <row r="159">
          <cell r="B159" t="str">
            <v/>
          </cell>
          <cell r="C159" t="str">
            <v/>
          </cell>
          <cell r="H159" t="str">
            <v/>
          </cell>
        </row>
        <row r="160">
          <cell r="B160" t="str">
            <v/>
          </cell>
          <cell r="C160" t="str">
            <v/>
          </cell>
          <cell r="H160" t="str">
            <v/>
          </cell>
        </row>
        <row r="161">
          <cell r="B161" t="str">
            <v/>
          </cell>
          <cell r="C161" t="str">
            <v/>
          </cell>
          <cell r="H161" t="str">
            <v/>
          </cell>
        </row>
        <row r="162">
          <cell r="B162" t="str">
            <v/>
          </cell>
          <cell r="C162" t="str">
            <v/>
          </cell>
          <cell r="H162" t="str">
            <v/>
          </cell>
        </row>
        <row r="163">
          <cell r="B163" t="str">
            <v/>
          </cell>
          <cell r="C163" t="str">
            <v/>
          </cell>
          <cell r="H163" t="str">
            <v/>
          </cell>
        </row>
        <row r="164">
          <cell r="B164" t="str">
            <v/>
          </cell>
          <cell r="C164" t="str">
            <v/>
          </cell>
          <cell r="H164" t="str">
            <v/>
          </cell>
        </row>
        <row r="165">
          <cell r="B165" t="str">
            <v/>
          </cell>
          <cell r="C165" t="str">
            <v/>
          </cell>
          <cell r="H165" t="str">
            <v/>
          </cell>
        </row>
        <row r="166">
          <cell r="B166" t="str">
            <v/>
          </cell>
          <cell r="C166" t="str">
            <v/>
          </cell>
          <cell r="H166" t="str">
            <v/>
          </cell>
        </row>
        <row r="167">
          <cell r="B167" t="str">
            <v/>
          </cell>
          <cell r="C167" t="str">
            <v/>
          </cell>
          <cell r="H167" t="str">
            <v/>
          </cell>
        </row>
        <row r="168">
          <cell r="B168" t="str">
            <v/>
          </cell>
          <cell r="C168" t="str">
            <v/>
          </cell>
          <cell r="H168" t="str">
            <v/>
          </cell>
        </row>
        <row r="169">
          <cell r="B169" t="str">
            <v/>
          </cell>
          <cell r="C169" t="str">
            <v/>
          </cell>
          <cell r="H169" t="str">
            <v/>
          </cell>
        </row>
        <row r="170">
          <cell r="B170" t="str">
            <v/>
          </cell>
          <cell r="C170" t="str">
            <v/>
          </cell>
          <cell r="H170" t="str">
            <v/>
          </cell>
        </row>
        <row r="171">
          <cell r="B171" t="str">
            <v/>
          </cell>
          <cell r="C171" t="str">
            <v/>
          </cell>
          <cell r="H171" t="str">
            <v/>
          </cell>
        </row>
        <row r="172">
          <cell r="B172" t="str">
            <v/>
          </cell>
          <cell r="C172" t="str">
            <v/>
          </cell>
          <cell r="H172" t="str">
            <v/>
          </cell>
        </row>
        <row r="173">
          <cell r="B173" t="str">
            <v/>
          </cell>
          <cell r="C173" t="str">
            <v/>
          </cell>
          <cell r="H173" t="str">
            <v/>
          </cell>
        </row>
        <row r="174">
          <cell r="B174" t="str">
            <v/>
          </cell>
          <cell r="C174" t="str">
            <v/>
          </cell>
          <cell r="H174" t="str">
            <v/>
          </cell>
        </row>
        <row r="175">
          <cell r="B175" t="str">
            <v/>
          </cell>
          <cell r="C175" t="str">
            <v/>
          </cell>
          <cell r="H175" t="str">
            <v/>
          </cell>
        </row>
        <row r="176">
          <cell r="B176" t="str">
            <v/>
          </cell>
          <cell r="C176" t="str">
            <v/>
          </cell>
          <cell r="H176" t="str">
            <v/>
          </cell>
        </row>
        <row r="177">
          <cell r="B177" t="str">
            <v/>
          </cell>
          <cell r="C177" t="str">
            <v/>
          </cell>
          <cell r="H177" t="str">
            <v/>
          </cell>
        </row>
        <row r="178">
          <cell r="B178" t="str">
            <v/>
          </cell>
          <cell r="C178" t="str">
            <v/>
          </cell>
          <cell r="H178" t="str">
            <v/>
          </cell>
        </row>
        <row r="179">
          <cell r="B179" t="str">
            <v/>
          </cell>
          <cell r="C179" t="str">
            <v/>
          </cell>
          <cell r="H179" t="str">
            <v/>
          </cell>
        </row>
        <row r="180">
          <cell r="B180" t="str">
            <v/>
          </cell>
          <cell r="C180" t="str">
            <v/>
          </cell>
          <cell r="H180" t="str">
            <v/>
          </cell>
        </row>
        <row r="181">
          <cell r="B181" t="str">
            <v/>
          </cell>
          <cell r="C181" t="str">
            <v/>
          </cell>
          <cell r="H181" t="str">
            <v/>
          </cell>
        </row>
        <row r="182">
          <cell r="B182" t="str">
            <v/>
          </cell>
          <cell r="C182" t="str">
            <v/>
          </cell>
          <cell r="H182" t="str">
            <v/>
          </cell>
        </row>
        <row r="183">
          <cell r="B183" t="str">
            <v/>
          </cell>
          <cell r="C183" t="str">
            <v/>
          </cell>
          <cell r="H183" t="str">
            <v/>
          </cell>
        </row>
        <row r="184">
          <cell r="B184" t="str">
            <v/>
          </cell>
          <cell r="C184" t="str">
            <v/>
          </cell>
          <cell r="H184" t="str">
            <v/>
          </cell>
        </row>
        <row r="185">
          <cell r="B185" t="str">
            <v/>
          </cell>
          <cell r="C185" t="str">
            <v/>
          </cell>
          <cell r="H185" t="str">
            <v/>
          </cell>
        </row>
        <row r="186">
          <cell r="B186" t="str">
            <v/>
          </cell>
          <cell r="C186" t="str">
            <v/>
          </cell>
          <cell r="H186" t="str">
            <v/>
          </cell>
        </row>
        <row r="187">
          <cell r="B187" t="str">
            <v/>
          </cell>
          <cell r="C187" t="str">
            <v/>
          </cell>
          <cell r="H187" t="str">
            <v/>
          </cell>
        </row>
        <row r="188">
          <cell r="B188" t="str">
            <v/>
          </cell>
          <cell r="C188" t="str">
            <v/>
          </cell>
          <cell r="H188" t="str">
            <v/>
          </cell>
        </row>
        <row r="189">
          <cell r="B189" t="str">
            <v/>
          </cell>
          <cell r="C189" t="str">
            <v/>
          </cell>
          <cell r="H189" t="str">
            <v/>
          </cell>
        </row>
        <row r="190">
          <cell r="B190" t="str">
            <v/>
          </cell>
          <cell r="C190" t="str">
            <v/>
          </cell>
          <cell r="H190" t="str">
            <v/>
          </cell>
        </row>
        <row r="191">
          <cell r="B191" t="str">
            <v/>
          </cell>
          <cell r="C191" t="str">
            <v/>
          </cell>
          <cell r="H191" t="str">
            <v/>
          </cell>
        </row>
        <row r="192">
          <cell r="B192" t="str">
            <v/>
          </cell>
          <cell r="C192" t="str">
            <v/>
          </cell>
          <cell r="H192" t="str">
            <v/>
          </cell>
        </row>
        <row r="193">
          <cell r="B193" t="str">
            <v/>
          </cell>
          <cell r="C193" t="str">
            <v/>
          </cell>
          <cell r="H193" t="str">
            <v/>
          </cell>
        </row>
        <row r="194">
          <cell r="B194" t="str">
            <v/>
          </cell>
          <cell r="C194" t="str">
            <v/>
          </cell>
          <cell r="H194" t="str">
            <v/>
          </cell>
        </row>
        <row r="195">
          <cell r="B195" t="str">
            <v/>
          </cell>
          <cell r="C195" t="str">
            <v/>
          </cell>
          <cell r="H195" t="str">
            <v/>
          </cell>
        </row>
        <row r="196">
          <cell r="B196" t="str">
            <v/>
          </cell>
          <cell r="C196" t="str">
            <v/>
          </cell>
          <cell r="H196" t="str">
            <v/>
          </cell>
        </row>
        <row r="197">
          <cell r="B197" t="str">
            <v/>
          </cell>
          <cell r="C197" t="str">
            <v/>
          </cell>
          <cell r="H197" t="str">
            <v/>
          </cell>
        </row>
        <row r="198">
          <cell r="B198" t="str">
            <v/>
          </cell>
          <cell r="C198" t="str">
            <v/>
          </cell>
          <cell r="H198" t="str">
            <v/>
          </cell>
        </row>
        <row r="199">
          <cell r="B199" t="str">
            <v/>
          </cell>
          <cell r="C199" t="str">
            <v/>
          </cell>
          <cell r="H199" t="str">
            <v/>
          </cell>
        </row>
        <row r="200">
          <cell r="B200" t="str">
            <v/>
          </cell>
          <cell r="C200" t="str">
            <v/>
          </cell>
          <cell r="H200" t="str">
            <v/>
          </cell>
        </row>
        <row r="201">
          <cell r="B201" t="str">
            <v/>
          </cell>
          <cell r="C201" t="str">
            <v/>
          </cell>
          <cell r="H201" t="str">
            <v/>
          </cell>
        </row>
        <row r="202">
          <cell r="B202" t="str">
            <v/>
          </cell>
          <cell r="C202" t="str">
            <v/>
          </cell>
          <cell r="H202" t="str">
            <v/>
          </cell>
        </row>
        <row r="203">
          <cell r="B203" t="str">
            <v/>
          </cell>
          <cell r="C203" t="str">
            <v/>
          </cell>
          <cell r="H203" t="str">
            <v/>
          </cell>
        </row>
        <row r="204">
          <cell r="B204" t="str">
            <v/>
          </cell>
          <cell r="C204" t="str">
            <v/>
          </cell>
          <cell r="H204" t="str">
            <v/>
          </cell>
        </row>
        <row r="205">
          <cell r="B205" t="str">
            <v/>
          </cell>
          <cell r="C205" t="str">
            <v/>
          </cell>
          <cell r="H205" t="str">
            <v/>
          </cell>
        </row>
        <row r="206">
          <cell r="B206" t="str">
            <v/>
          </cell>
          <cell r="C206" t="str">
            <v/>
          </cell>
          <cell r="H206" t="str">
            <v/>
          </cell>
        </row>
        <row r="207">
          <cell r="B207" t="str">
            <v/>
          </cell>
          <cell r="C207" t="str">
            <v/>
          </cell>
          <cell r="H207" t="str">
            <v/>
          </cell>
        </row>
        <row r="208">
          <cell r="B208" t="str">
            <v/>
          </cell>
          <cell r="C208" t="str">
            <v/>
          </cell>
          <cell r="H208" t="str">
            <v/>
          </cell>
        </row>
        <row r="209">
          <cell r="B209" t="str">
            <v/>
          </cell>
          <cell r="C209" t="str">
            <v/>
          </cell>
          <cell r="H209" t="str">
            <v/>
          </cell>
        </row>
        <row r="210">
          <cell r="B210" t="str">
            <v/>
          </cell>
          <cell r="C210" t="str">
            <v/>
          </cell>
          <cell r="H210" t="str">
            <v/>
          </cell>
        </row>
        <row r="211">
          <cell r="B211" t="str">
            <v/>
          </cell>
          <cell r="C211" t="str">
            <v/>
          </cell>
          <cell r="H211" t="str">
            <v/>
          </cell>
        </row>
        <row r="212">
          <cell r="B212" t="str">
            <v/>
          </cell>
          <cell r="C212" t="str">
            <v/>
          </cell>
          <cell r="H212" t="str">
            <v/>
          </cell>
        </row>
        <row r="213">
          <cell r="B213" t="str">
            <v/>
          </cell>
          <cell r="C213" t="str">
            <v/>
          </cell>
          <cell r="H213" t="str">
            <v/>
          </cell>
        </row>
        <row r="214">
          <cell r="B214" t="str">
            <v/>
          </cell>
          <cell r="C214" t="str">
            <v/>
          </cell>
          <cell r="H214" t="str">
            <v/>
          </cell>
        </row>
        <row r="215">
          <cell r="B215" t="str">
            <v/>
          </cell>
          <cell r="C215" t="str">
            <v/>
          </cell>
          <cell r="H215" t="str">
            <v/>
          </cell>
        </row>
        <row r="216">
          <cell r="B216" t="str">
            <v/>
          </cell>
          <cell r="C216" t="str">
            <v/>
          </cell>
          <cell r="H216" t="str">
            <v/>
          </cell>
        </row>
        <row r="217">
          <cell r="B217" t="str">
            <v/>
          </cell>
          <cell r="C217" t="str">
            <v/>
          </cell>
          <cell r="H217" t="str">
            <v/>
          </cell>
        </row>
        <row r="218">
          <cell r="B218" t="str">
            <v/>
          </cell>
          <cell r="C218" t="str">
            <v/>
          </cell>
          <cell r="H218" t="str">
            <v/>
          </cell>
        </row>
        <row r="219">
          <cell r="B219" t="str">
            <v/>
          </cell>
          <cell r="C219" t="str">
            <v/>
          </cell>
          <cell r="H219" t="str">
            <v/>
          </cell>
        </row>
        <row r="220">
          <cell r="B220" t="str">
            <v/>
          </cell>
          <cell r="C220" t="str">
            <v/>
          </cell>
          <cell r="H220" t="str">
            <v/>
          </cell>
        </row>
        <row r="221">
          <cell r="B221" t="str">
            <v/>
          </cell>
          <cell r="C221" t="str">
            <v/>
          </cell>
          <cell r="H221" t="str">
            <v/>
          </cell>
        </row>
        <row r="222">
          <cell r="B222" t="str">
            <v/>
          </cell>
          <cell r="C222" t="str">
            <v/>
          </cell>
          <cell r="H222" t="str">
            <v/>
          </cell>
        </row>
        <row r="223">
          <cell r="B223" t="str">
            <v/>
          </cell>
          <cell r="C223" t="str">
            <v/>
          </cell>
          <cell r="H223" t="str">
            <v/>
          </cell>
        </row>
        <row r="224">
          <cell r="B224" t="str">
            <v/>
          </cell>
          <cell r="C224" t="str">
            <v/>
          </cell>
          <cell r="H224" t="str">
            <v/>
          </cell>
        </row>
        <row r="225">
          <cell r="B225" t="str">
            <v/>
          </cell>
          <cell r="C225" t="str">
            <v/>
          </cell>
          <cell r="H225" t="str">
            <v/>
          </cell>
        </row>
        <row r="226">
          <cell r="B226" t="str">
            <v/>
          </cell>
          <cell r="C226" t="str">
            <v/>
          </cell>
          <cell r="H226" t="str">
            <v/>
          </cell>
        </row>
        <row r="227">
          <cell r="B227" t="str">
            <v/>
          </cell>
          <cell r="C227" t="str">
            <v/>
          </cell>
          <cell r="H227" t="str">
            <v/>
          </cell>
        </row>
        <row r="228">
          <cell r="B228" t="str">
            <v/>
          </cell>
          <cell r="C228" t="str">
            <v/>
          </cell>
          <cell r="H228" t="str">
            <v/>
          </cell>
        </row>
        <row r="229">
          <cell r="B229" t="str">
            <v/>
          </cell>
          <cell r="C229" t="str">
            <v/>
          </cell>
          <cell r="H229" t="str">
            <v/>
          </cell>
        </row>
        <row r="230">
          <cell r="B230" t="str">
            <v/>
          </cell>
          <cell r="C230" t="str">
            <v/>
          </cell>
          <cell r="H230" t="str">
            <v/>
          </cell>
        </row>
        <row r="231">
          <cell r="B231" t="str">
            <v/>
          </cell>
          <cell r="C231" t="str">
            <v/>
          </cell>
          <cell r="H231" t="str">
            <v/>
          </cell>
        </row>
        <row r="232">
          <cell r="B232" t="str">
            <v/>
          </cell>
          <cell r="C232" t="str">
            <v/>
          </cell>
          <cell r="H232" t="str">
            <v/>
          </cell>
        </row>
        <row r="233">
          <cell r="B233" t="str">
            <v/>
          </cell>
          <cell r="C233" t="str">
            <v/>
          </cell>
          <cell r="H233" t="str">
            <v/>
          </cell>
        </row>
        <row r="234">
          <cell r="B234" t="str">
            <v/>
          </cell>
          <cell r="C234" t="str">
            <v/>
          </cell>
          <cell r="H234" t="str">
            <v/>
          </cell>
        </row>
        <row r="235">
          <cell r="B235" t="str">
            <v/>
          </cell>
          <cell r="C235" t="str">
            <v/>
          </cell>
          <cell r="H235" t="str">
            <v/>
          </cell>
        </row>
        <row r="236">
          <cell r="B236" t="str">
            <v/>
          </cell>
          <cell r="C236" t="str">
            <v/>
          </cell>
          <cell r="H236" t="str">
            <v/>
          </cell>
        </row>
        <row r="237">
          <cell r="B237" t="str">
            <v/>
          </cell>
          <cell r="C237" t="str">
            <v/>
          </cell>
          <cell r="H237" t="str">
            <v/>
          </cell>
        </row>
        <row r="238">
          <cell r="B238" t="str">
            <v/>
          </cell>
          <cell r="C238" t="str">
            <v/>
          </cell>
          <cell r="H238" t="str">
            <v/>
          </cell>
        </row>
        <row r="239">
          <cell r="B239" t="str">
            <v/>
          </cell>
          <cell r="C239" t="str">
            <v/>
          </cell>
          <cell r="H239" t="str">
            <v/>
          </cell>
        </row>
        <row r="240">
          <cell r="B240" t="str">
            <v/>
          </cell>
          <cell r="C240" t="str">
            <v/>
          </cell>
          <cell r="H240" t="str">
            <v/>
          </cell>
        </row>
        <row r="241">
          <cell r="B241" t="str">
            <v/>
          </cell>
          <cell r="C241" t="str">
            <v/>
          </cell>
          <cell r="H241" t="str">
            <v/>
          </cell>
        </row>
        <row r="242">
          <cell r="B242" t="str">
            <v/>
          </cell>
          <cell r="C242" t="str">
            <v/>
          </cell>
          <cell r="H242" t="str">
            <v/>
          </cell>
        </row>
        <row r="243">
          <cell r="B243" t="str">
            <v/>
          </cell>
          <cell r="C243" t="str">
            <v/>
          </cell>
          <cell r="H243" t="str">
            <v/>
          </cell>
        </row>
        <row r="244">
          <cell r="B244" t="str">
            <v/>
          </cell>
          <cell r="C244" t="str">
            <v/>
          </cell>
          <cell r="H244" t="str">
            <v/>
          </cell>
        </row>
        <row r="245">
          <cell r="B245" t="str">
            <v/>
          </cell>
          <cell r="C245" t="str">
            <v/>
          </cell>
          <cell r="H245" t="str">
            <v/>
          </cell>
        </row>
        <row r="246">
          <cell r="B246" t="str">
            <v/>
          </cell>
          <cell r="C246" t="str">
            <v/>
          </cell>
          <cell r="H246" t="str">
            <v/>
          </cell>
        </row>
        <row r="247">
          <cell r="B247" t="str">
            <v/>
          </cell>
          <cell r="C247" t="str">
            <v/>
          </cell>
          <cell r="H247" t="str">
            <v/>
          </cell>
        </row>
        <row r="248">
          <cell r="B248" t="str">
            <v/>
          </cell>
          <cell r="C248" t="str">
            <v/>
          </cell>
          <cell r="H248" t="str">
            <v/>
          </cell>
        </row>
        <row r="249">
          <cell r="B249" t="str">
            <v/>
          </cell>
          <cell r="C249" t="str">
            <v/>
          </cell>
          <cell r="H249" t="str">
            <v/>
          </cell>
        </row>
        <row r="250">
          <cell r="B250" t="str">
            <v/>
          </cell>
          <cell r="C250" t="str">
            <v/>
          </cell>
          <cell r="H250" t="str">
            <v/>
          </cell>
        </row>
        <row r="251">
          <cell r="B251" t="str">
            <v/>
          </cell>
          <cell r="C251" t="str">
            <v/>
          </cell>
          <cell r="H251" t="str">
            <v/>
          </cell>
        </row>
        <row r="252">
          <cell r="B252" t="str">
            <v/>
          </cell>
          <cell r="C252" t="str">
            <v/>
          </cell>
          <cell r="H252" t="str">
            <v/>
          </cell>
        </row>
        <row r="253">
          <cell r="B253" t="str">
            <v/>
          </cell>
          <cell r="C253" t="str">
            <v/>
          </cell>
          <cell r="H253" t="str">
            <v/>
          </cell>
        </row>
        <row r="254">
          <cell r="B254" t="str">
            <v/>
          </cell>
          <cell r="C254" t="str">
            <v/>
          </cell>
          <cell r="H254" t="str">
            <v/>
          </cell>
        </row>
        <row r="255">
          <cell r="B255" t="str">
            <v/>
          </cell>
          <cell r="C255" t="str">
            <v/>
          </cell>
          <cell r="H255" t="str">
            <v/>
          </cell>
        </row>
        <row r="256">
          <cell r="B256" t="str">
            <v/>
          </cell>
          <cell r="C256" t="str">
            <v/>
          </cell>
          <cell r="H256" t="str">
            <v/>
          </cell>
        </row>
        <row r="257">
          <cell r="B257" t="str">
            <v/>
          </cell>
          <cell r="C257" t="str">
            <v/>
          </cell>
          <cell r="H257" t="str">
            <v/>
          </cell>
        </row>
        <row r="258">
          <cell r="B258" t="str">
            <v/>
          </cell>
          <cell r="C258" t="str">
            <v/>
          </cell>
          <cell r="H258" t="str">
            <v/>
          </cell>
        </row>
        <row r="259">
          <cell r="B259" t="str">
            <v/>
          </cell>
          <cell r="C259" t="str">
            <v/>
          </cell>
          <cell r="H259" t="str">
            <v/>
          </cell>
        </row>
        <row r="260">
          <cell r="B260" t="str">
            <v/>
          </cell>
          <cell r="C260" t="str">
            <v/>
          </cell>
          <cell r="H260" t="str">
            <v/>
          </cell>
        </row>
        <row r="261">
          <cell r="B261" t="str">
            <v/>
          </cell>
          <cell r="C261" t="str">
            <v/>
          </cell>
          <cell r="H261" t="str">
            <v/>
          </cell>
        </row>
        <row r="262">
          <cell r="B262" t="str">
            <v/>
          </cell>
          <cell r="C262" t="str">
            <v/>
          </cell>
          <cell r="H262" t="str">
            <v/>
          </cell>
        </row>
        <row r="263">
          <cell r="B263" t="str">
            <v/>
          </cell>
          <cell r="C263" t="str">
            <v/>
          </cell>
          <cell r="H263" t="str">
            <v/>
          </cell>
        </row>
        <row r="264">
          <cell r="B264" t="str">
            <v/>
          </cell>
          <cell r="C264" t="str">
            <v/>
          </cell>
          <cell r="H264" t="str">
            <v/>
          </cell>
        </row>
        <row r="265">
          <cell r="B265" t="str">
            <v/>
          </cell>
          <cell r="C265" t="str">
            <v/>
          </cell>
          <cell r="H265" t="str">
            <v/>
          </cell>
        </row>
        <row r="266">
          <cell r="B266" t="str">
            <v/>
          </cell>
          <cell r="C266" t="str">
            <v/>
          </cell>
          <cell r="H266" t="str">
            <v/>
          </cell>
        </row>
        <row r="267">
          <cell r="B267" t="str">
            <v/>
          </cell>
          <cell r="C267" t="str">
            <v/>
          </cell>
          <cell r="H267" t="str">
            <v/>
          </cell>
        </row>
        <row r="268">
          <cell r="B268" t="str">
            <v/>
          </cell>
          <cell r="C268" t="str">
            <v/>
          </cell>
          <cell r="H268" t="str">
            <v/>
          </cell>
        </row>
        <row r="269">
          <cell r="B269" t="str">
            <v/>
          </cell>
          <cell r="C269" t="str">
            <v/>
          </cell>
          <cell r="H269" t="str">
            <v/>
          </cell>
        </row>
        <row r="270">
          <cell r="B270" t="str">
            <v/>
          </cell>
          <cell r="C270" t="str">
            <v/>
          </cell>
          <cell r="H270" t="str">
            <v/>
          </cell>
        </row>
        <row r="271">
          <cell r="B271" t="str">
            <v/>
          </cell>
          <cell r="C271" t="str">
            <v/>
          </cell>
          <cell r="H271" t="str">
            <v/>
          </cell>
        </row>
        <row r="272">
          <cell r="B272" t="str">
            <v/>
          </cell>
          <cell r="C272" t="str">
            <v/>
          </cell>
          <cell r="H272" t="str">
            <v/>
          </cell>
        </row>
        <row r="273">
          <cell r="B273" t="str">
            <v/>
          </cell>
          <cell r="C273" t="str">
            <v/>
          </cell>
          <cell r="H273" t="str">
            <v/>
          </cell>
        </row>
        <row r="274">
          <cell r="B274" t="str">
            <v/>
          </cell>
          <cell r="C274" t="str">
            <v/>
          </cell>
          <cell r="H274" t="str">
            <v/>
          </cell>
        </row>
        <row r="275">
          <cell r="B275" t="str">
            <v/>
          </cell>
          <cell r="C275" t="str">
            <v/>
          </cell>
          <cell r="H275" t="str">
            <v/>
          </cell>
        </row>
        <row r="276">
          <cell r="B276" t="str">
            <v/>
          </cell>
          <cell r="C276" t="str">
            <v/>
          </cell>
          <cell r="H276" t="str">
            <v/>
          </cell>
        </row>
        <row r="277">
          <cell r="B277" t="str">
            <v/>
          </cell>
          <cell r="C277" t="str">
            <v/>
          </cell>
          <cell r="H277" t="str">
            <v/>
          </cell>
        </row>
        <row r="278">
          <cell r="B278" t="str">
            <v/>
          </cell>
          <cell r="C278" t="str">
            <v/>
          </cell>
          <cell r="H278" t="str">
            <v/>
          </cell>
        </row>
        <row r="279">
          <cell r="B279" t="str">
            <v/>
          </cell>
          <cell r="C279" t="str">
            <v/>
          </cell>
          <cell r="H279" t="str">
            <v/>
          </cell>
        </row>
        <row r="280">
          <cell r="B280" t="str">
            <v/>
          </cell>
          <cell r="C280" t="str">
            <v/>
          </cell>
          <cell r="H280" t="str">
            <v/>
          </cell>
        </row>
        <row r="281">
          <cell r="B281" t="str">
            <v/>
          </cell>
          <cell r="C281" t="str">
            <v/>
          </cell>
          <cell r="H281" t="str">
            <v/>
          </cell>
        </row>
        <row r="282">
          <cell r="B282" t="str">
            <v/>
          </cell>
          <cell r="C282" t="str">
            <v/>
          </cell>
          <cell r="H282" t="str">
            <v/>
          </cell>
        </row>
        <row r="283">
          <cell r="B283" t="str">
            <v/>
          </cell>
          <cell r="C283" t="str">
            <v/>
          </cell>
          <cell r="H283" t="str">
            <v/>
          </cell>
        </row>
        <row r="284">
          <cell r="B284" t="str">
            <v/>
          </cell>
          <cell r="C284" t="str">
            <v/>
          </cell>
          <cell r="H284" t="str">
            <v/>
          </cell>
        </row>
        <row r="285">
          <cell r="B285" t="str">
            <v/>
          </cell>
          <cell r="C285" t="str">
            <v/>
          </cell>
          <cell r="H285" t="str">
            <v/>
          </cell>
        </row>
        <row r="286">
          <cell r="B286" t="str">
            <v/>
          </cell>
          <cell r="C286" t="str">
            <v/>
          </cell>
          <cell r="H286" t="str">
            <v/>
          </cell>
        </row>
        <row r="287">
          <cell r="B287" t="str">
            <v/>
          </cell>
          <cell r="C287" t="str">
            <v/>
          </cell>
          <cell r="H287" t="str">
            <v/>
          </cell>
        </row>
        <row r="288">
          <cell r="B288" t="str">
            <v/>
          </cell>
          <cell r="C288" t="str">
            <v/>
          </cell>
          <cell r="H288" t="str">
            <v/>
          </cell>
        </row>
        <row r="289">
          <cell r="B289" t="str">
            <v/>
          </cell>
          <cell r="C289" t="str">
            <v/>
          </cell>
          <cell r="H289" t="str">
            <v/>
          </cell>
        </row>
        <row r="290">
          <cell r="B290" t="str">
            <v/>
          </cell>
          <cell r="C290" t="str">
            <v/>
          </cell>
          <cell r="H290" t="str">
            <v/>
          </cell>
        </row>
        <row r="291">
          <cell r="B291" t="str">
            <v/>
          </cell>
          <cell r="C291" t="str">
            <v/>
          </cell>
          <cell r="H291" t="str">
            <v/>
          </cell>
        </row>
        <row r="292">
          <cell r="B292" t="str">
            <v/>
          </cell>
          <cell r="C292" t="str">
            <v/>
          </cell>
          <cell r="H292" t="str">
            <v/>
          </cell>
        </row>
        <row r="293">
          <cell r="B293" t="str">
            <v/>
          </cell>
          <cell r="C293" t="str">
            <v/>
          </cell>
          <cell r="H293" t="str">
            <v/>
          </cell>
        </row>
        <row r="294">
          <cell r="B294" t="str">
            <v/>
          </cell>
          <cell r="C294" t="str">
            <v/>
          </cell>
          <cell r="H294" t="str">
            <v/>
          </cell>
        </row>
        <row r="295">
          <cell r="B295" t="str">
            <v/>
          </cell>
          <cell r="C295" t="str">
            <v/>
          </cell>
          <cell r="H295" t="str">
            <v/>
          </cell>
        </row>
        <row r="296">
          <cell r="B296" t="str">
            <v/>
          </cell>
          <cell r="C296" t="str">
            <v/>
          </cell>
          <cell r="H296" t="str">
            <v/>
          </cell>
        </row>
        <row r="297">
          <cell r="B297" t="str">
            <v/>
          </cell>
          <cell r="C297" t="str">
            <v/>
          </cell>
          <cell r="H297" t="str">
            <v/>
          </cell>
        </row>
        <row r="298">
          <cell r="B298" t="str">
            <v/>
          </cell>
          <cell r="C298" t="str">
            <v/>
          </cell>
          <cell r="H298" t="str">
            <v/>
          </cell>
        </row>
        <row r="299">
          <cell r="B299" t="str">
            <v/>
          </cell>
          <cell r="C299" t="str">
            <v/>
          </cell>
          <cell r="H299" t="str">
            <v/>
          </cell>
        </row>
        <row r="300">
          <cell r="B300" t="str">
            <v/>
          </cell>
          <cell r="C300" t="str">
            <v/>
          </cell>
          <cell r="H300" t="str">
            <v/>
          </cell>
        </row>
        <row r="301">
          <cell r="B301" t="str">
            <v/>
          </cell>
          <cell r="C301" t="str">
            <v/>
          </cell>
          <cell r="H301" t="str">
            <v/>
          </cell>
        </row>
        <row r="302">
          <cell r="B302" t="str">
            <v/>
          </cell>
          <cell r="C302" t="str">
            <v/>
          </cell>
          <cell r="H302" t="str">
            <v/>
          </cell>
        </row>
        <row r="303">
          <cell r="B303" t="str">
            <v/>
          </cell>
          <cell r="C303" t="str">
            <v/>
          </cell>
          <cell r="H303" t="str">
            <v/>
          </cell>
        </row>
        <row r="304">
          <cell r="B304" t="str">
            <v/>
          </cell>
          <cell r="C304" t="str">
            <v/>
          </cell>
          <cell r="H304" t="str">
            <v/>
          </cell>
        </row>
        <row r="305">
          <cell r="B305" t="str">
            <v/>
          </cell>
          <cell r="C305" t="str">
            <v/>
          </cell>
          <cell r="H305" t="str">
            <v/>
          </cell>
        </row>
        <row r="306">
          <cell r="B306" t="str">
            <v/>
          </cell>
          <cell r="C306" t="str">
            <v/>
          </cell>
          <cell r="H306" t="str">
            <v/>
          </cell>
        </row>
        <row r="307">
          <cell r="B307" t="str">
            <v/>
          </cell>
          <cell r="C307" t="str">
            <v/>
          </cell>
          <cell r="H307" t="str">
            <v/>
          </cell>
        </row>
        <row r="308">
          <cell r="B308" t="str">
            <v/>
          </cell>
          <cell r="C308" t="str">
            <v/>
          </cell>
          <cell r="H308" t="str">
            <v/>
          </cell>
        </row>
        <row r="309">
          <cell r="B309" t="str">
            <v/>
          </cell>
          <cell r="C309" t="str">
            <v/>
          </cell>
          <cell r="H309" t="str">
            <v/>
          </cell>
        </row>
        <row r="310">
          <cell r="B310" t="str">
            <v/>
          </cell>
          <cell r="C310" t="str">
            <v/>
          </cell>
          <cell r="H310" t="str">
            <v/>
          </cell>
        </row>
        <row r="311">
          <cell r="B311" t="str">
            <v/>
          </cell>
          <cell r="C311" t="str">
            <v/>
          </cell>
          <cell r="H311" t="str">
            <v/>
          </cell>
        </row>
        <row r="312">
          <cell r="B312" t="str">
            <v/>
          </cell>
          <cell r="C312" t="str">
            <v/>
          </cell>
          <cell r="H312" t="str">
            <v/>
          </cell>
        </row>
        <row r="313">
          <cell r="B313" t="str">
            <v/>
          </cell>
          <cell r="C313" t="str">
            <v/>
          </cell>
          <cell r="H313" t="str">
            <v/>
          </cell>
        </row>
        <row r="314">
          <cell r="B314" t="str">
            <v/>
          </cell>
          <cell r="C314" t="str">
            <v/>
          </cell>
          <cell r="H314" t="str">
            <v/>
          </cell>
        </row>
        <row r="315">
          <cell r="B315" t="str">
            <v/>
          </cell>
          <cell r="C315" t="str">
            <v/>
          </cell>
          <cell r="H315" t="str">
            <v/>
          </cell>
        </row>
        <row r="316">
          <cell r="B316" t="str">
            <v/>
          </cell>
          <cell r="C316" t="str">
            <v/>
          </cell>
          <cell r="H316" t="str">
            <v/>
          </cell>
        </row>
        <row r="317">
          <cell r="B317" t="str">
            <v/>
          </cell>
          <cell r="C317" t="str">
            <v/>
          </cell>
          <cell r="H317" t="str">
            <v/>
          </cell>
        </row>
        <row r="318">
          <cell r="B318" t="str">
            <v/>
          </cell>
          <cell r="C318" t="str">
            <v/>
          </cell>
          <cell r="H318" t="str">
            <v/>
          </cell>
        </row>
        <row r="319">
          <cell r="B319" t="str">
            <v/>
          </cell>
          <cell r="C319" t="str">
            <v/>
          </cell>
          <cell r="H319" t="str">
            <v/>
          </cell>
        </row>
        <row r="320">
          <cell r="B320" t="str">
            <v/>
          </cell>
          <cell r="C320" t="str">
            <v/>
          </cell>
          <cell r="H320" t="str">
            <v/>
          </cell>
        </row>
        <row r="321">
          <cell r="B321" t="str">
            <v/>
          </cell>
          <cell r="C321" t="str">
            <v/>
          </cell>
          <cell r="H321" t="str">
            <v/>
          </cell>
        </row>
        <row r="322">
          <cell r="B322" t="str">
            <v/>
          </cell>
          <cell r="C322" t="str">
            <v/>
          </cell>
          <cell r="H322" t="str">
            <v/>
          </cell>
        </row>
        <row r="323">
          <cell r="B323" t="str">
            <v/>
          </cell>
          <cell r="C323" t="str">
            <v/>
          </cell>
          <cell r="H323" t="str">
            <v/>
          </cell>
        </row>
        <row r="324">
          <cell r="B324" t="str">
            <v/>
          </cell>
          <cell r="C324" t="str">
            <v/>
          </cell>
          <cell r="H324" t="str">
            <v/>
          </cell>
        </row>
        <row r="325">
          <cell r="B325" t="str">
            <v/>
          </cell>
          <cell r="C325" t="str">
            <v/>
          </cell>
          <cell r="H325" t="str">
            <v/>
          </cell>
        </row>
        <row r="326">
          <cell r="B326" t="str">
            <v/>
          </cell>
          <cell r="C326" t="str">
            <v/>
          </cell>
          <cell r="H326" t="str">
            <v/>
          </cell>
        </row>
        <row r="327">
          <cell r="B327" t="str">
            <v/>
          </cell>
          <cell r="C327" t="str">
            <v/>
          </cell>
          <cell r="H327" t="str">
            <v/>
          </cell>
        </row>
        <row r="328">
          <cell r="B328" t="str">
            <v/>
          </cell>
          <cell r="C328" t="str">
            <v/>
          </cell>
          <cell r="H328" t="str">
            <v/>
          </cell>
        </row>
        <row r="329">
          <cell r="B329" t="str">
            <v/>
          </cell>
          <cell r="C329" t="str">
            <v/>
          </cell>
          <cell r="H329" t="str">
            <v/>
          </cell>
        </row>
        <row r="330">
          <cell r="B330" t="str">
            <v/>
          </cell>
          <cell r="C330" t="str">
            <v/>
          </cell>
          <cell r="H330" t="str">
            <v/>
          </cell>
        </row>
        <row r="331">
          <cell r="B331" t="str">
            <v/>
          </cell>
          <cell r="C331" t="str">
            <v/>
          </cell>
          <cell r="H331" t="str">
            <v/>
          </cell>
        </row>
        <row r="332">
          <cell r="B332" t="str">
            <v/>
          </cell>
          <cell r="C332" t="str">
            <v/>
          </cell>
          <cell r="H332" t="str">
            <v/>
          </cell>
        </row>
        <row r="333">
          <cell r="B333" t="str">
            <v/>
          </cell>
          <cell r="C333" t="str">
            <v/>
          </cell>
          <cell r="H333" t="str">
            <v/>
          </cell>
        </row>
        <row r="334">
          <cell r="B334" t="str">
            <v/>
          </cell>
          <cell r="C334" t="str">
            <v/>
          </cell>
          <cell r="H334" t="str">
            <v/>
          </cell>
        </row>
        <row r="335">
          <cell r="B335" t="str">
            <v/>
          </cell>
          <cell r="C335" t="str">
            <v/>
          </cell>
          <cell r="H335" t="str">
            <v/>
          </cell>
        </row>
        <row r="336">
          <cell r="B336" t="str">
            <v/>
          </cell>
          <cell r="C336" t="str">
            <v/>
          </cell>
          <cell r="H336" t="str">
            <v/>
          </cell>
        </row>
        <row r="337">
          <cell r="B337" t="str">
            <v/>
          </cell>
          <cell r="C337" t="str">
            <v/>
          </cell>
          <cell r="H337" t="str">
            <v/>
          </cell>
        </row>
        <row r="338">
          <cell r="B338" t="str">
            <v/>
          </cell>
          <cell r="C338" t="str">
            <v/>
          </cell>
          <cell r="H338" t="str">
            <v/>
          </cell>
        </row>
        <row r="339">
          <cell r="B339" t="str">
            <v/>
          </cell>
          <cell r="C339" t="str">
            <v/>
          </cell>
          <cell r="H339" t="str">
            <v/>
          </cell>
        </row>
        <row r="340">
          <cell r="B340" t="str">
            <v/>
          </cell>
          <cell r="C340" t="str">
            <v/>
          </cell>
          <cell r="H340" t="str">
            <v/>
          </cell>
        </row>
        <row r="341">
          <cell r="B341" t="str">
            <v/>
          </cell>
          <cell r="C341" t="str">
            <v/>
          </cell>
          <cell r="H341" t="str">
            <v/>
          </cell>
        </row>
        <row r="342">
          <cell r="B342" t="str">
            <v/>
          </cell>
          <cell r="C342" t="str">
            <v/>
          </cell>
          <cell r="H342" t="str">
            <v/>
          </cell>
        </row>
        <row r="343">
          <cell r="B343" t="str">
            <v/>
          </cell>
          <cell r="C343" t="str">
            <v/>
          </cell>
          <cell r="H343" t="str">
            <v/>
          </cell>
        </row>
        <row r="344">
          <cell r="B344" t="str">
            <v/>
          </cell>
          <cell r="C344" t="str">
            <v/>
          </cell>
          <cell r="H344" t="str">
            <v/>
          </cell>
        </row>
        <row r="345">
          <cell r="B345" t="str">
            <v/>
          </cell>
          <cell r="C345" t="str">
            <v/>
          </cell>
          <cell r="H345" t="str">
            <v/>
          </cell>
        </row>
        <row r="346">
          <cell r="B346" t="str">
            <v/>
          </cell>
          <cell r="C346" t="str">
            <v/>
          </cell>
          <cell r="H346" t="str">
            <v/>
          </cell>
        </row>
        <row r="347">
          <cell r="B347" t="str">
            <v/>
          </cell>
          <cell r="C347" t="str">
            <v/>
          </cell>
          <cell r="H347" t="str">
            <v/>
          </cell>
        </row>
        <row r="348">
          <cell r="B348" t="str">
            <v/>
          </cell>
          <cell r="C348" t="str">
            <v/>
          </cell>
          <cell r="H348" t="str">
            <v/>
          </cell>
        </row>
        <row r="349">
          <cell r="B349" t="str">
            <v/>
          </cell>
          <cell r="C349" t="str">
            <v/>
          </cell>
          <cell r="H349" t="str">
            <v/>
          </cell>
        </row>
        <row r="350">
          <cell r="B350" t="str">
            <v/>
          </cell>
          <cell r="C350" t="str">
            <v/>
          </cell>
          <cell r="H350" t="str">
            <v/>
          </cell>
        </row>
        <row r="351">
          <cell r="B351" t="str">
            <v/>
          </cell>
          <cell r="C351" t="str">
            <v/>
          </cell>
          <cell r="H351" t="str">
            <v/>
          </cell>
        </row>
        <row r="352">
          <cell r="B352" t="str">
            <v/>
          </cell>
          <cell r="C352" t="str">
            <v/>
          </cell>
          <cell r="H352" t="str">
            <v/>
          </cell>
        </row>
        <row r="353">
          <cell r="B353" t="str">
            <v/>
          </cell>
          <cell r="C353" t="str">
            <v/>
          </cell>
          <cell r="H353" t="str">
            <v/>
          </cell>
        </row>
        <row r="354">
          <cell r="B354" t="str">
            <v/>
          </cell>
          <cell r="C354" t="str">
            <v/>
          </cell>
          <cell r="H354" t="str">
            <v/>
          </cell>
        </row>
        <row r="355">
          <cell r="B355" t="str">
            <v/>
          </cell>
          <cell r="C355" t="str">
            <v/>
          </cell>
          <cell r="H355" t="str">
            <v/>
          </cell>
        </row>
        <row r="356">
          <cell r="B356" t="str">
            <v/>
          </cell>
          <cell r="C356" t="str">
            <v/>
          </cell>
          <cell r="H356" t="str">
            <v/>
          </cell>
        </row>
        <row r="357">
          <cell r="B357" t="str">
            <v/>
          </cell>
          <cell r="C357" t="str">
            <v/>
          </cell>
          <cell r="H357" t="str">
            <v/>
          </cell>
        </row>
        <row r="358">
          <cell r="B358" t="str">
            <v/>
          </cell>
          <cell r="C358" t="str">
            <v/>
          </cell>
          <cell r="H358" t="str">
            <v/>
          </cell>
        </row>
        <row r="359">
          <cell r="B359" t="str">
            <v/>
          </cell>
          <cell r="C359" t="str">
            <v/>
          </cell>
          <cell r="H359" t="str">
            <v/>
          </cell>
        </row>
        <row r="360">
          <cell r="B360" t="str">
            <v/>
          </cell>
          <cell r="C360" t="str">
            <v/>
          </cell>
          <cell r="H360" t="str">
            <v/>
          </cell>
        </row>
        <row r="361">
          <cell r="B361" t="str">
            <v/>
          </cell>
          <cell r="C361" t="str">
            <v/>
          </cell>
          <cell r="H361" t="str">
            <v/>
          </cell>
        </row>
        <row r="362">
          <cell r="B362" t="str">
            <v/>
          </cell>
          <cell r="C362" t="str">
            <v/>
          </cell>
          <cell r="H362" t="str">
            <v/>
          </cell>
        </row>
        <row r="363">
          <cell r="B363" t="str">
            <v/>
          </cell>
          <cell r="C363" t="str">
            <v/>
          </cell>
          <cell r="H363" t="str">
            <v/>
          </cell>
        </row>
        <row r="364">
          <cell r="B364" t="str">
            <v/>
          </cell>
          <cell r="C364" t="str">
            <v/>
          </cell>
          <cell r="H364" t="str">
            <v/>
          </cell>
        </row>
        <row r="365">
          <cell r="B365" t="str">
            <v/>
          </cell>
          <cell r="C365" t="str">
            <v/>
          </cell>
          <cell r="H365" t="str">
            <v/>
          </cell>
        </row>
        <row r="366">
          <cell r="B366" t="str">
            <v/>
          </cell>
          <cell r="C366" t="str">
            <v/>
          </cell>
          <cell r="H366" t="str">
            <v/>
          </cell>
        </row>
        <row r="367">
          <cell r="B367" t="str">
            <v/>
          </cell>
          <cell r="C367" t="str">
            <v/>
          </cell>
          <cell r="H367" t="str">
            <v/>
          </cell>
        </row>
        <row r="368">
          <cell r="B368" t="str">
            <v/>
          </cell>
          <cell r="C368" t="str">
            <v/>
          </cell>
          <cell r="H368" t="str">
            <v/>
          </cell>
        </row>
        <row r="369">
          <cell r="B369" t="str">
            <v/>
          </cell>
          <cell r="C369" t="str">
            <v/>
          </cell>
          <cell r="H369" t="str">
            <v/>
          </cell>
        </row>
        <row r="370">
          <cell r="B370" t="str">
            <v/>
          </cell>
          <cell r="C370" t="str">
            <v/>
          </cell>
          <cell r="H370" t="str">
            <v/>
          </cell>
        </row>
        <row r="371">
          <cell r="B371" t="str">
            <v/>
          </cell>
          <cell r="C371" t="str">
            <v/>
          </cell>
          <cell r="H371" t="str">
            <v/>
          </cell>
        </row>
        <row r="372">
          <cell r="B372" t="str">
            <v/>
          </cell>
          <cell r="C372" t="str">
            <v/>
          </cell>
          <cell r="H372" t="str">
            <v/>
          </cell>
        </row>
        <row r="373">
          <cell r="B373" t="str">
            <v/>
          </cell>
          <cell r="C373" t="str">
            <v/>
          </cell>
          <cell r="H373" t="str">
            <v/>
          </cell>
        </row>
        <row r="374">
          <cell r="B374" t="str">
            <v/>
          </cell>
          <cell r="C374" t="str">
            <v/>
          </cell>
          <cell r="H374" t="str">
            <v/>
          </cell>
        </row>
        <row r="375">
          <cell r="B375" t="str">
            <v/>
          </cell>
          <cell r="C375" t="str">
            <v/>
          </cell>
          <cell r="H375" t="str">
            <v/>
          </cell>
        </row>
        <row r="376">
          <cell r="B376" t="str">
            <v/>
          </cell>
          <cell r="C376" t="str">
            <v/>
          </cell>
          <cell r="H376" t="str">
            <v/>
          </cell>
        </row>
        <row r="377">
          <cell r="B377" t="str">
            <v/>
          </cell>
          <cell r="C377" t="str">
            <v/>
          </cell>
          <cell r="H377" t="str">
            <v/>
          </cell>
        </row>
        <row r="378">
          <cell r="B378" t="str">
            <v/>
          </cell>
          <cell r="C378" t="str">
            <v/>
          </cell>
          <cell r="H378" t="str">
            <v/>
          </cell>
        </row>
        <row r="379">
          <cell r="B379" t="str">
            <v/>
          </cell>
          <cell r="C379" t="str">
            <v/>
          </cell>
          <cell r="H379" t="str">
            <v/>
          </cell>
        </row>
        <row r="380">
          <cell r="B380" t="str">
            <v/>
          </cell>
          <cell r="C380" t="str">
            <v/>
          </cell>
          <cell r="H380" t="str">
            <v/>
          </cell>
        </row>
        <row r="381">
          <cell r="B381" t="str">
            <v/>
          </cell>
          <cell r="C381" t="str">
            <v/>
          </cell>
          <cell r="H381" t="str">
            <v/>
          </cell>
        </row>
        <row r="382">
          <cell r="B382" t="str">
            <v/>
          </cell>
          <cell r="C382" t="str">
            <v/>
          </cell>
          <cell r="H382" t="str">
            <v/>
          </cell>
        </row>
        <row r="383">
          <cell r="B383" t="str">
            <v/>
          </cell>
          <cell r="C383" t="str">
            <v/>
          </cell>
          <cell r="H383" t="str">
            <v/>
          </cell>
        </row>
        <row r="384">
          <cell r="B384" t="str">
            <v/>
          </cell>
          <cell r="C384" t="str">
            <v/>
          </cell>
          <cell r="H384" t="str">
            <v/>
          </cell>
        </row>
        <row r="385">
          <cell r="B385" t="str">
            <v/>
          </cell>
          <cell r="C385" t="str">
            <v/>
          </cell>
          <cell r="H385" t="str">
            <v/>
          </cell>
        </row>
        <row r="386">
          <cell r="B386" t="str">
            <v/>
          </cell>
          <cell r="C386" t="str">
            <v/>
          </cell>
          <cell r="H386" t="str">
            <v/>
          </cell>
        </row>
        <row r="387">
          <cell r="B387" t="str">
            <v/>
          </cell>
          <cell r="C387" t="str">
            <v/>
          </cell>
          <cell r="H387" t="str">
            <v/>
          </cell>
        </row>
        <row r="388">
          <cell r="B388" t="str">
            <v/>
          </cell>
          <cell r="C388" t="str">
            <v/>
          </cell>
          <cell r="H388" t="str">
            <v/>
          </cell>
        </row>
        <row r="389">
          <cell r="B389" t="str">
            <v/>
          </cell>
          <cell r="C389" t="str">
            <v/>
          </cell>
          <cell r="H389" t="str">
            <v/>
          </cell>
        </row>
        <row r="390">
          <cell r="B390" t="str">
            <v/>
          </cell>
          <cell r="C390" t="str">
            <v/>
          </cell>
          <cell r="H390" t="str">
            <v/>
          </cell>
        </row>
        <row r="391">
          <cell r="B391" t="str">
            <v/>
          </cell>
          <cell r="C391" t="str">
            <v/>
          </cell>
          <cell r="H391" t="str">
            <v/>
          </cell>
        </row>
        <row r="392">
          <cell r="B392" t="str">
            <v/>
          </cell>
          <cell r="C392" t="str">
            <v/>
          </cell>
          <cell r="H392" t="str">
            <v/>
          </cell>
        </row>
        <row r="393">
          <cell r="B393" t="str">
            <v/>
          </cell>
          <cell r="C393" t="str">
            <v/>
          </cell>
          <cell r="H393" t="str">
            <v/>
          </cell>
        </row>
        <row r="394">
          <cell r="B394" t="str">
            <v/>
          </cell>
          <cell r="C394" t="str">
            <v/>
          </cell>
          <cell r="H394" t="str">
            <v/>
          </cell>
        </row>
        <row r="395">
          <cell r="B395" t="str">
            <v/>
          </cell>
          <cell r="C395" t="str">
            <v/>
          </cell>
          <cell r="H395" t="str">
            <v/>
          </cell>
        </row>
        <row r="396">
          <cell r="B396" t="str">
            <v/>
          </cell>
          <cell r="C396" t="str">
            <v/>
          </cell>
          <cell r="H396" t="str">
            <v/>
          </cell>
        </row>
        <row r="397">
          <cell r="B397" t="str">
            <v/>
          </cell>
          <cell r="C397" t="str">
            <v/>
          </cell>
          <cell r="H397" t="str">
            <v/>
          </cell>
        </row>
        <row r="398">
          <cell r="B398" t="str">
            <v/>
          </cell>
          <cell r="C398" t="str">
            <v/>
          </cell>
          <cell r="H398" t="str">
            <v/>
          </cell>
        </row>
        <row r="399">
          <cell r="B399" t="str">
            <v/>
          </cell>
          <cell r="C399" t="str">
            <v/>
          </cell>
          <cell r="H399" t="str">
            <v/>
          </cell>
        </row>
        <row r="400">
          <cell r="B400" t="str">
            <v/>
          </cell>
          <cell r="C400" t="str">
            <v/>
          </cell>
          <cell r="H400" t="str">
            <v/>
          </cell>
        </row>
        <row r="401">
          <cell r="B401" t="str">
            <v/>
          </cell>
          <cell r="C401" t="str">
            <v/>
          </cell>
          <cell r="H401" t="str">
            <v/>
          </cell>
        </row>
        <row r="402">
          <cell r="B402" t="str">
            <v/>
          </cell>
          <cell r="C402" t="str">
            <v/>
          </cell>
          <cell r="H402" t="str">
            <v/>
          </cell>
        </row>
        <row r="403">
          <cell r="B403" t="str">
            <v/>
          </cell>
          <cell r="C403" t="str">
            <v/>
          </cell>
          <cell r="H403" t="str">
            <v/>
          </cell>
        </row>
        <row r="404">
          <cell r="B404" t="str">
            <v/>
          </cell>
          <cell r="C404" t="str">
            <v/>
          </cell>
          <cell r="H404" t="str">
            <v/>
          </cell>
        </row>
        <row r="405">
          <cell r="B405" t="str">
            <v/>
          </cell>
          <cell r="C405" t="str">
            <v/>
          </cell>
          <cell r="H405" t="str">
            <v/>
          </cell>
        </row>
        <row r="406">
          <cell r="B406" t="str">
            <v/>
          </cell>
          <cell r="C406" t="str">
            <v/>
          </cell>
          <cell r="H406" t="str">
            <v/>
          </cell>
        </row>
        <row r="407">
          <cell r="B407" t="str">
            <v/>
          </cell>
          <cell r="C407" t="str">
            <v/>
          </cell>
          <cell r="H407" t="str">
            <v/>
          </cell>
        </row>
        <row r="408">
          <cell r="B408" t="str">
            <v/>
          </cell>
          <cell r="C408" t="str">
            <v/>
          </cell>
          <cell r="H408" t="str">
            <v/>
          </cell>
        </row>
        <row r="409">
          <cell r="B409" t="str">
            <v/>
          </cell>
          <cell r="C409" t="str">
            <v/>
          </cell>
          <cell r="H409" t="str">
            <v/>
          </cell>
        </row>
        <row r="410">
          <cell r="B410" t="str">
            <v/>
          </cell>
          <cell r="C410" t="str">
            <v/>
          </cell>
          <cell r="H410" t="str">
            <v/>
          </cell>
        </row>
        <row r="411">
          <cell r="B411" t="str">
            <v/>
          </cell>
          <cell r="C411" t="str">
            <v/>
          </cell>
          <cell r="H411" t="str">
            <v/>
          </cell>
        </row>
        <row r="412">
          <cell r="B412" t="str">
            <v/>
          </cell>
          <cell r="C412" t="str">
            <v/>
          </cell>
          <cell r="H412" t="str">
            <v/>
          </cell>
        </row>
        <row r="413">
          <cell r="B413" t="str">
            <v/>
          </cell>
          <cell r="C413" t="str">
            <v/>
          </cell>
          <cell r="H413" t="str">
            <v/>
          </cell>
        </row>
        <row r="414">
          <cell r="B414" t="str">
            <v/>
          </cell>
          <cell r="C414" t="str">
            <v/>
          </cell>
          <cell r="H414" t="str">
            <v/>
          </cell>
        </row>
        <row r="415">
          <cell r="B415" t="str">
            <v/>
          </cell>
          <cell r="C415" t="str">
            <v/>
          </cell>
          <cell r="H415" t="str">
            <v/>
          </cell>
        </row>
        <row r="416">
          <cell r="B416" t="str">
            <v/>
          </cell>
          <cell r="C416" t="str">
            <v/>
          </cell>
          <cell r="H416" t="str">
            <v/>
          </cell>
        </row>
        <row r="417">
          <cell r="B417" t="str">
            <v/>
          </cell>
          <cell r="C417" t="str">
            <v/>
          </cell>
          <cell r="H417" t="str">
            <v/>
          </cell>
        </row>
        <row r="418">
          <cell r="B418" t="str">
            <v/>
          </cell>
          <cell r="C418" t="str">
            <v/>
          </cell>
          <cell r="H418" t="str">
            <v/>
          </cell>
        </row>
        <row r="419">
          <cell r="B419" t="str">
            <v/>
          </cell>
          <cell r="C419" t="str">
            <v/>
          </cell>
          <cell r="H419" t="str">
            <v/>
          </cell>
        </row>
        <row r="420">
          <cell r="B420" t="str">
            <v/>
          </cell>
          <cell r="C420" t="str">
            <v/>
          </cell>
          <cell r="H420" t="str">
            <v/>
          </cell>
        </row>
        <row r="421">
          <cell r="B421" t="str">
            <v/>
          </cell>
          <cell r="C421" t="str">
            <v/>
          </cell>
          <cell r="H421" t="str">
            <v/>
          </cell>
        </row>
        <row r="422">
          <cell r="B422" t="str">
            <v/>
          </cell>
          <cell r="C422" t="str">
            <v/>
          </cell>
          <cell r="H422" t="str">
            <v/>
          </cell>
        </row>
        <row r="423">
          <cell r="B423" t="str">
            <v/>
          </cell>
          <cell r="C423" t="str">
            <v/>
          </cell>
          <cell r="H423" t="str">
            <v/>
          </cell>
        </row>
        <row r="424">
          <cell r="B424" t="str">
            <v/>
          </cell>
          <cell r="C424" t="str">
            <v/>
          </cell>
          <cell r="H424" t="str">
            <v/>
          </cell>
        </row>
        <row r="425">
          <cell r="B425" t="str">
            <v/>
          </cell>
          <cell r="C425" t="str">
            <v/>
          </cell>
          <cell r="H425" t="str">
            <v/>
          </cell>
        </row>
        <row r="426">
          <cell r="B426" t="str">
            <v/>
          </cell>
          <cell r="C426" t="str">
            <v/>
          </cell>
          <cell r="H426" t="str">
            <v/>
          </cell>
        </row>
        <row r="427">
          <cell r="B427" t="str">
            <v/>
          </cell>
          <cell r="C427" t="str">
            <v/>
          </cell>
          <cell r="H427" t="str">
            <v/>
          </cell>
        </row>
        <row r="428">
          <cell r="B428" t="str">
            <v/>
          </cell>
          <cell r="C428" t="str">
            <v/>
          </cell>
          <cell r="H428" t="str">
            <v/>
          </cell>
        </row>
        <row r="429">
          <cell r="B429" t="str">
            <v/>
          </cell>
          <cell r="C429" t="str">
            <v/>
          </cell>
          <cell r="H429" t="str">
            <v/>
          </cell>
        </row>
        <row r="430">
          <cell r="B430" t="str">
            <v/>
          </cell>
          <cell r="C430" t="str">
            <v/>
          </cell>
          <cell r="H430" t="str">
            <v/>
          </cell>
        </row>
        <row r="431">
          <cell r="B431" t="str">
            <v/>
          </cell>
          <cell r="C431" t="str">
            <v/>
          </cell>
          <cell r="H431" t="str">
            <v/>
          </cell>
        </row>
        <row r="432">
          <cell r="B432" t="str">
            <v/>
          </cell>
          <cell r="C432" t="str">
            <v/>
          </cell>
          <cell r="H432" t="str">
            <v/>
          </cell>
        </row>
        <row r="433">
          <cell r="B433" t="str">
            <v/>
          </cell>
          <cell r="C433" t="str">
            <v/>
          </cell>
          <cell r="H433" t="str">
            <v/>
          </cell>
        </row>
        <row r="434">
          <cell r="B434" t="str">
            <v/>
          </cell>
          <cell r="C434" t="str">
            <v/>
          </cell>
          <cell r="H434" t="str">
            <v/>
          </cell>
        </row>
        <row r="435">
          <cell r="B435" t="str">
            <v/>
          </cell>
          <cell r="C435" t="str">
            <v/>
          </cell>
          <cell r="H435" t="str">
            <v/>
          </cell>
        </row>
        <row r="436">
          <cell r="B436" t="str">
            <v/>
          </cell>
          <cell r="C436" t="str">
            <v/>
          </cell>
          <cell r="H436" t="str">
            <v/>
          </cell>
        </row>
        <row r="437">
          <cell r="B437" t="str">
            <v/>
          </cell>
          <cell r="C437" t="str">
            <v/>
          </cell>
          <cell r="H437" t="str">
            <v/>
          </cell>
        </row>
        <row r="438">
          <cell r="B438" t="str">
            <v/>
          </cell>
          <cell r="C438" t="str">
            <v/>
          </cell>
          <cell r="H438" t="str">
            <v/>
          </cell>
        </row>
        <row r="439">
          <cell r="B439" t="str">
            <v/>
          </cell>
          <cell r="C439" t="str">
            <v/>
          </cell>
          <cell r="H439" t="str">
            <v/>
          </cell>
        </row>
        <row r="440">
          <cell r="B440" t="str">
            <v/>
          </cell>
          <cell r="C440" t="str">
            <v/>
          </cell>
          <cell r="H440" t="str">
            <v/>
          </cell>
        </row>
        <row r="441">
          <cell r="B441" t="str">
            <v/>
          </cell>
          <cell r="C441" t="str">
            <v/>
          </cell>
          <cell r="H441" t="str">
            <v/>
          </cell>
        </row>
        <row r="442">
          <cell r="B442" t="str">
            <v/>
          </cell>
          <cell r="C442" t="str">
            <v/>
          </cell>
          <cell r="H442" t="str">
            <v/>
          </cell>
        </row>
        <row r="443">
          <cell r="B443" t="str">
            <v/>
          </cell>
          <cell r="C443" t="str">
            <v/>
          </cell>
          <cell r="H443" t="str">
            <v/>
          </cell>
        </row>
        <row r="444">
          <cell r="B444" t="str">
            <v/>
          </cell>
          <cell r="C444" t="str">
            <v/>
          </cell>
          <cell r="H444" t="str">
            <v/>
          </cell>
        </row>
        <row r="445">
          <cell r="B445" t="str">
            <v/>
          </cell>
          <cell r="C445" t="str">
            <v/>
          </cell>
          <cell r="H445" t="str">
            <v/>
          </cell>
        </row>
        <row r="446">
          <cell r="B446" t="str">
            <v/>
          </cell>
          <cell r="C446" t="str">
            <v/>
          </cell>
          <cell r="H446" t="str">
            <v/>
          </cell>
        </row>
        <row r="447">
          <cell r="B447" t="str">
            <v/>
          </cell>
          <cell r="C447" t="str">
            <v/>
          </cell>
          <cell r="H447" t="str">
            <v/>
          </cell>
        </row>
        <row r="448">
          <cell r="B448" t="str">
            <v/>
          </cell>
          <cell r="C448" t="str">
            <v/>
          </cell>
          <cell r="H448" t="str">
            <v/>
          </cell>
        </row>
        <row r="449">
          <cell r="B449" t="str">
            <v/>
          </cell>
          <cell r="C449" t="str">
            <v/>
          </cell>
          <cell r="H449" t="str">
            <v/>
          </cell>
        </row>
        <row r="450">
          <cell r="B450" t="str">
            <v/>
          </cell>
          <cell r="C450" t="str">
            <v/>
          </cell>
          <cell r="H450" t="str">
            <v/>
          </cell>
        </row>
        <row r="451">
          <cell r="B451" t="str">
            <v/>
          </cell>
          <cell r="C451" t="str">
            <v/>
          </cell>
          <cell r="H451" t="str">
            <v/>
          </cell>
        </row>
        <row r="452">
          <cell r="B452" t="str">
            <v/>
          </cell>
          <cell r="C452" t="str">
            <v/>
          </cell>
          <cell r="H452" t="str">
            <v/>
          </cell>
        </row>
        <row r="453">
          <cell r="B453" t="str">
            <v/>
          </cell>
          <cell r="C453" t="str">
            <v/>
          </cell>
          <cell r="H453" t="str">
            <v/>
          </cell>
        </row>
        <row r="454">
          <cell r="B454" t="str">
            <v/>
          </cell>
          <cell r="C454" t="str">
            <v/>
          </cell>
          <cell r="H454" t="str">
            <v/>
          </cell>
        </row>
        <row r="455">
          <cell r="B455" t="str">
            <v/>
          </cell>
          <cell r="C455" t="str">
            <v/>
          </cell>
          <cell r="H455" t="str">
            <v/>
          </cell>
        </row>
        <row r="456">
          <cell r="B456" t="str">
            <v/>
          </cell>
          <cell r="C456" t="str">
            <v/>
          </cell>
          <cell r="H456" t="str">
            <v/>
          </cell>
        </row>
        <row r="457">
          <cell r="B457" t="str">
            <v/>
          </cell>
          <cell r="C457" t="str">
            <v/>
          </cell>
          <cell r="H457" t="str">
            <v/>
          </cell>
        </row>
        <row r="458">
          <cell r="B458" t="str">
            <v/>
          </cell>
          <cell r="C458" t="str">
            <v/>
          </cell>
          <cell r="H458" t="str">
            <v/>
          </cell>
        </row>
        <row r="459">
          <cell r="B459" t="str">
            <v/>
          </cell>
          <cell r="C459" t="str">
            <v/>
          </cell>
          <cell r="H459" t="str">
            <v/>
          </cell>
        </row>
        <row r="460">
          <cell r="B460" t="str">
            <v/>
          </cell>
          <cell r="C460" t="str">
            <v/>
          </cell>
          <cell r="H460" t="str">
            <v/>
          </cell>
        </row>
        <row r="461">
          <cell r="B461" t="str">
            <v/>
          </cell>
          <cell r="C461" t="str">
            <v/>
          </cell>
          <cell r="H461" t="str">
            <v/>
          </cell>
        </row>
        <row r="462">
          <cell r="B462" t="str">
            <v/>
          </cell>
          <cell r="C462" t="str">
            <v/>
          </cell>
          <cell r="H462" t="str">
            <v/>
          </cell>
        </row>
        <row r="463">
          <cell r="B463" t="str">
            <v/>
          </cell>
          <cell r="C463" t="str">
            <v/>
          </cell>
          <cell r="H463" t="str">
            <v/>
          </cell>
        </row>
        <row r="464">
          <cell r="B464" t="str">
            <v/>
          </cell>
          <cell r="C464" t="str">
            <v/>
          </cell>
          <cell r="H464" t="str">
            <v/>
          </cell>
        </row>
        <row r="465">
          <cell r="B465" t="str">
            <v/>
          </cell>
          <cell r="C465" t="str">
            <v/>
          </cell>
          <cell r="H465" t="str">
            <v/>
          </cell>
        </row>
        <row r="466">
          <cell r="B466" t="str">
            <v/>
          </cell>
          <cell r="C466" t="str">
            <v/>
          </cell>
          <cell r="H466" t="str">
            <v/>
          </cell>
        </row>
        <row r="467">
          <cell r="B467" t="str">
            <v/>
          </cell>
          <cell r="C467" t="str">
            <v/>
          </cell>
          <cell r="H467" t="str">
            <v/>
          </cell>
        </row>
        <row r="468">
          <cell r="B468" t="str">
            <v/>
          </cell>
          <cell r="C468" t="str">
            <v/>
          </cell>
          <cell r="H468" t="str">
            <v/>
          </cell>
        </row>
        <row r="469">
          <cell r="B469" t="str">
            <v/>
          </cell>
          <cell r="C469" t="str">
            <v/>
          </cell>
          <cell r="H469" t="str">
            <v/>
          </cell>
        </row>
        <row r="470">
          <cell r="B470" t="str">
            <v/>
          </cell>
          <cell r="C470" t="str">
            <v/>
          </cell>
          <cell r="H470" t="str">
            <v/>
          </cell>
        </row>
        <row r="471">
          <cell r="B471" t="str">
            <v/>
          </cell>
          <cell r="C471" t="str">
            <v/>
          </cell>
          <cell r="H471" t="str">
            <v/>
          </cell>
        </row>
        <row r="472">
          <cell r="B472" t="str">
            <v/>
          </cell>
          <cell r="C472" t="str">
            <v/>
          </cell>
          <cell r="H472" t="str">
            <v/>
          </cell>
        </row>
        <row r="473">
          <cell r="B473" t="str">
            <v/>
          </cell>
          <cell r="C473" t="str">
            <v/>
          </cell>
          <cell r="H473" t="str">
            <v/>
          </cell>
        </row>
        <row r="474">
          <cell r="B474" t="str">
            <v/>
          </cell>
          <cell r="C474" t="str">
            <v/>
          </cell>
          <cell r="H474" t="str">
            <v/>
          </cell>
        </row>
        <row r="475">
          <cell r="B475" t="str">
            <v/>
          </cell>
          <cell r="C475" t="str">
            <v/>
          </cell>
          <cell r="H475" t="str">
            <v/>
          </cell>
        </row>
        <row r="476">
          <cell r="B476" t="str">
            <v/>
          </cell>
          <cell r="C476" t="str">
            <v/>
          </cell>
          <cell r="H476" t="str">
            <v/>
          </cell>
        </row>
        <row r="477">
          <cell r="B477" t="str">
            <v/>
          </cell>
          <cell r="C477" t="str">
            <v/>
          </cell>
          <cell r="H477" t="str">
            <v/>
          </cell>
        </row>
        <row r="478">
          <cell r="B478" t="str">
            <v/>
          </cell>
          <cell r="C478" t="str">
            <v/>
          </cell>
          <cell r="H478" t="str">
            <v/>
          </cell>
        </row>
        <row r="479">
          <cell r="B479" t="str">
            <v/>
          </cell>
          <cell r="C479" t="str">
            <v/>
          </cell>
          <cell r="H479" t="str">
            <v/>
          </cell>
        </row>
        <row r="480">
          <cell r="B480" t="str">
            <v/>
          </cell>
          <cell r="C480" t="str">
            <v/>
          </cell>
          <cell r="H480" t="str">
            <v/>
          </cell>
        </row>
        <row r="481">
          <cell r="B481" t="str">
            <v/>
          </cell>
          <cell r="C481" t="str">
            <v/>
          </cell>
          <cell r="H481" t="str">
            <v/>
          </cell>
        </row>
        <row r="482">
          <cell r="B482" t="str">
            <v/>
          </cell>
          <cell r="C482" t="str">
            <v/>
          </cell>
          <cell r="H482" t="str">
            <v/>
          </cell>
        </row>
        <row r="483">
          <cell r="B483" t="str">
            <v/>
          </cell>
          <cell r="C483" t="str">
            <v/>
          </cell>
          <cell r="H483" t="str">
            <v/>
          </cell>
        </row>
        <row r="484">
          <cell r="B484" t="str">
            <v/>
          </cell>
          <cell r="C484" t="str">
            <v/>
          </cell>
          <cell r="H484" t="str">
            <v/>
          </cell>
        </row>
        <row r="485">
          <cell r="B485" t="str">
            <v/>
          </cell>
          <cell r="C485" t="str">
            <v/>
          </cell>
          <cell r="H485" t="str">
            <v/>
          </cell>
        </row>
        <row r="486">
          <cell r="B486" t="str">
            <v/>
          </cell>
          <cell r="C486" t="str">
            <v/>
          </cell>
          <cell r="H486" t="str">
            <v/>
          </cell>
        </row>
        <row r="487">
          <cell r="B487" t="str">
            <v/>
          </cell>
          <cell r="C487" t="str">
            <v/>
          </cell>
          <cell r="H487" t="str">
            <v/>
          </cell>
        </row>
        <row r="488">
          <cell r="B488" t="str">
            <v/>
          </cell>
          <cell r="C488" t="str">
            <v/>
          </cell>
          <cell r="H488" t="str">
            <v/>
          </cell>
        </row>
        <row r="489">
          <cell r="B489" t="str">
            <v/>
          </cell>
          <cell r="C489" t="str">
            <v/>
          </cell>
          <cell r="H489" t="str">
            <v/>
          </cell>
        </row>
        <row r="490">
          <cell r="B490" t="str">
            <v/>
          </cell>
          <cell r="C490" t="str">
            <v/>
          </cell>
          <cell r="H490" t="str">
            <v/>
          </cell>
        </row>
        <row r="491">
          <cell r="B491" t="str">
            <v/>
          </cell>
          <cell r="C491" t="str">
            <v/>
          </cell>
          <cell r="H491" t="str">
            <v/>
          </cell>
        </row>
        <row r="492">
          <cell r="B492" t="str">
            <v/>
          </cell>
          <cell r="C492" t="str">
            <v/>
          </cell>
          <cell r="H492" t="str">
            <v/>
          </cell>
        </row>
        <row r="493">
          <cell r="B493" t="str">
            <v/>
          </cell>
          <cell r="C493" t="str">
            <v/>
          </cell>
          <cell r="H493" t="str">
            <v/>
          </cell>
        </row>
        <row r="494">
          <cell r="B494" t="str">
            <v/>
          </cell>
          <cell r="C494" t="str">
            <v/>
          </cell>
          <cell r="H494" t="str">
            <v/>
          </cell>
        </row>
        <row r="495">
          <cell r="B495" t="str">
            <v/>
          </cell>
          <cell r="C495" t="str">
            <v/>
          </cell>
          <cell r="H495" t="str">
            <v/>
          </cell>
        </row>
        <row r="496">
          <cell r="B496" t="str">
            <v/>
          </cell>
          <cell r="C496" t="str">
            <v/>
          </cell>
          <cell r="H496" t="str">
            <v/>
          </cell>
        </row>
        <row r="497">
          <cell r="B497" t="str">
            <v/>
          </cell>
          <cell r="C497" t="str">
            <v/>
          </cell>
          <cell r="H497" t="str">
            <v/>
          </cell>
        </row>
        <row r="498">
          <cell r="B498" t="str">
            <v/>
          </cell>
          <cell r="C498" t="str">
            <v/>
          </cell>
          <cell r="H498" t="str">
            <v/>
          </cell>
        </row>
        <row r="499">
          <cell r="B499" t="str">
            <v/>
          </cell>
          <cell r="C499" t="str">
            <v/>
          </cell>
          <cell r="H499" t="str">
            <v/>
          </cell>
        </row>
        <row r="500">
          <cell r="B500" t="str">
            <v/>
          </cell>
          <cell r="C500" t="str">
            <v/>
          </cell>
          <cell r="H500" t="str">
            <v/>
          </cell>
        </row>
        <row r="501">
          <cell r="B501" t="str">
            <v/>
          </cell>
          <cell r="C501" t="str">
            <v/>
          </cell>
          <cell r="H501" t="str">
            <v/>
          </cell>
        </row>
        <row r="502">
          <cell r="B502" t="str">
            <v/>
          </cell>
          <cell r="C502" t="str">
            <v/>
          </cell>
          <cell r="H502" t="str">
            <v/>
          </cell>
        </row>
        <row r="503">
          <cell r="B503" t="str">
            <v/>
          </cell>
          <cell r="C503" t="str">
            <v/>
          </cell>
          <cell r="H503" t="str">
            <v/>
          </cell>
        </row>
        <row r="504">
          <cell r="B504" t="str">
            <v/>
          </cell>
          <cell r="C504" t="str">
            <v/>
          </cell>
          <cell r="H504" t="str">
            <v/>
          </cell>
        </row>
        <row r="505">
          <cell r="B505" t="str">
            <v/>
          </cell>
          <cell r="C505" t="str">
            <v/>
          </cell>
          <cell r="H505" t="str">
            <v/>
          </cell>
        </row>
        <row r="506">
          <cell r="B506" t="str">
            <v/>
          </cell>
          <cell r="C506" t="str">
            <v/>
          </cell>
          <cell r="H506" t="str">
            <v/>
          </cell>
        </row>
        <row r="507">
          <cell r="B507" t="str">
            <v/>
          </cell>
          <cell r="C507" t="str">
            <v/>
          </cell>
          <cell r="H507" t="str">
            <v/>
          </cell>
        </row>
        <row r="508">
          <cell r="B508" t="str">
            <v/>
          </cell>
          <cell r="C508" t="str">
            <v/>
          </cell>
          <cell r="H508" t="str">
            <v/>
          </cell>
        </row>
        <row r="509">
          <cell r="B509" t="str">
            <v/>
          </cell>
          <cell r="C509" t="str">
            <v/>
          </cell>
          <cell r="H509" t="str">
            <v/>
          </cell>
        </row>
        <row r="510">
          <cell r="B510" t="str">
            <v/>
          </cell>
          <cell r="C510" t="str">
            <v/>
          </cell>
          <cell r="H510" t="str">
            <v/>
          </cell>
        </row>
        <row r="511">
          <cell r="B511" t="str">
            <v/>
          </cell>
          <cell r="C511" t="str">
            <v/>
          </cell>
          <cell r="H511" t="str">
            <v/>
          </cell>
        </row>
        <row r="512">
          <cell r="B512" t="str">
            <v/>
          </cell>
          <cell r="C512" t="str">
            <v/>
          </cell>
          <cell r="H512" t="str">
            <v/>
          </cell>
        </row>
        <row r="513">
          <cell r="B513" t="str">
            <v/>
          </cell>
          <cell r="C513" t="str">
            <v/>
          </cell>
          <cell r="H513" t="str">
            <v/>
          </cell>
        </row>
        <row r="514">
          <cell r="B514" t="str">
            <v/>
          </cell>
          <cell r="C514" t="str">
            <v/>
          </cell>
          <cell r="H514" t="str">
            <v/>
          </cell>
        </row>
        <row r="515">
          <cell r="B515" t="str">
            <v/>
          </cell>
          <cell r="C515" t="str">
            <v/>
          </cell>
          <cell r="H515" t="str">
            <v/>
          </cell>
        </row>
        <row r="516">
          <cell r="B516" t="str">
            <v/>
          </cell>
          <cell r="C516" t="str">
            <v/>
          </cell>
          <cell r="H516" t="str">
            <v/>
          </cell>
        </row>
        <row r="517">
          <cell r="B517" t="str">
            <v/>
          </cell>
          <cell r="C517" t="str">
            <v/>
          </cell>
          <cell r="H517" t="str">
            <v/>
          </cell>
        </row>
        <row r="518">
          <cell r="B518" t="str">
            <v/>
          </cell>
          <cell r="C518" t="str">
            <v/>
          </cell>
          <cell r="H518" t="str">
            <v/>
          </cell>
        </row>
        <row r="519">
          <cell r="B519" t="str">
            <v/>
          </cell>
          <cell r="C519" t="str">
            <v/>
          </cell>
          <cell r="H519" t="str">
            <v/>
          </cell>
        </row>
        <row r="520">
          <cell r="B520" t="str">
            <v/>
          </cell>
          <cell r="C520" t="str">
            <v/>
          </cell>
          <cell r="H520" t="str">
            <v/>
          </cell>
        </row>
        <row r="521">
          <cell r="B521" t="str">
            <v/>
          </cell>
          <cell r="C521" t="str">
            <v/>
          </cell>
          <cell r="H521" t="str">
            <v/>
          </cell>
        </row>
        <row r="522">
          <cell r="B522" t="str">
            <v/>
          </cell>
          <cell r="C522" t="str">
            <v/>
          </cell>
          <cell r="H522" t="str">
            <v/>
          </cell>
        </row>
        <row r="523">
          <cell r="B523" t="str">
            <v/>
          </cell>
          <cell r="C523" t="str">
            <v/>
          </cell>
          <cell r="H523" t="str">
            <v/>
          </cell>
        </row>
        <row r="524">
          <cell r="B524" t="str">
            <v/>
          </cell>
          <cell r="C524" t="str">
            <v/>
          </cell>
          <cell r="H524" t="str">
            <v/>
          </cell>
        </row>
        <row r="525">
          <cell r="B525" t="str">
            <v/>
          </cell>
          <cell r="C525" t="str">
            <v/>
          </cell>
          <cell r="H525" t="str">
            <v/>
          </cell>
        </row>
        <row r="526">
          <cell r="B526" t="str">
            <v/>
          </cell>
          <cell r="C526" t="str">
            <v/>
          </cell>
          <cell r="H526" t="str">
            <v/>
          </cell>
        </row>
        <row r="527">
          <cell r="B527" t="str">
            <v/>
          </cell>
          <cell r="C527" t="str">
            <v/>
          </cell>
          <cell r="H527" t="str">
            <v/>
          </cell>
        </row>
        <row r="528">
          <cell r="B528" t="str">
            <v/>
          </cell>
          <cell r="C528" t="str">
            <v/>
          </cell>
          <cell r="H528" t="str">
            <v/>
          </cell>
        </row>
        <row r="529">
          <cell r="B529" t="str">
            <v/>
          </cell>
          <cell r="C529" t="str">
            <v/>
          </cell>
          <cell r="H529" t="str">
            <v/>
          </cell>
        </row>
        <row r="530">
          <cell r="B530" t="str">
            <v/>
          </cell>
          <cell r="C530" t="str">
            <v/>
          </cell>
          <cell r="H530" t="str">
            <v/>
          </cell>
        </row>
        <row r="531">
          <cell r="B531" t="str">
            <v/>
          </cell>
          <cell r="C531" t="str">
            <v/>
          </cell>
          <cell r="H531" t="str">
            <v/>
          </cell>
        </row>
        <row r="532">
          <cell r="B532" t="str">
            <v/>
          </cell>
          <cell r="C532" t="str">
            <v/>
          </cell>
          <cell r="H532" t="str">
            <v/>
          </cell>
        </row>
        <row r="533">
          <cell r="B533" t="str">
            <v/>
          </cell>
          <cell r="C533" t="str">
            <v/>
          </cell>
          <cell r="H533" t="str">
            <v/>
          </cell>
        </row>
        <row r="534">
          <cell r="B534" t="str">
            <v/>
          </cell>
          <cell r="C534" t="str">
            <v/>
          </cell>
          <cell r="H534" t="str">
            <v/>
          </cell>
        </row>
        <row r="535">
          <cell r="B535" t="str">
            <v/>
          </cell>
          <cell r="C535" t="str">
            <v/>
          </cell>
          <cell r="H535" t="str">
            <v/>
          </cell>
        </row>
        <row r="536">
          <cell r="B536" t="str">
            <v/>
          </cell>
          <cell r="C536" t="str">
            <v/>
          </cell>
          <cell r="H536" t="str">
            <v/>
          </cell>
        </row>
        <row r="537">
          <cell r="B537" t="str">
            <v/>
          </cell>
          <cell r="C537" t="str">
            <v/>
          </cell>
          <cell r="H537" t="str">
            <v/>
          </cell>
        </row>
        <row r="538">
          <cell r="B538" t="str">
            <v/>
          </cell>
          <cell r="C538" t="str">
            <v/>
          </cell>
          <cell r="H538" t="str">
            <v/>
          </cell>
        </row>
        <row r="539">
          <cell r="B539" t="str">
            <v/>
          </cell>
          <cell r="C539" t="str">
            <v/>
          </cell>
          <cell r="H539" t="str">
            <v/>
          </cell>
        </row>
        <row r="540">
          <cell r="B540" t="str">
            <v/>
          </cell>
          <cell r="C540" t="str">
            <v/>
          </cell>
          <cell r="H540" t="str">
            <v/>
          </cell>
        </row>
        <row r="541">
          <cell r="B541" t="str">
            <v/>
          </cell>
          <cell r="C541" t="str">
            <v/>
          </cell>
          <cell r="H541" t="str">
            <v/>
          </cell>
        </row>
        <row r="542">
          <cell r="B542" t="str">
            <v/>
          </cell>
          <cell r="C542" t="str">
            <v/>
          </cell>
          <cell r="H542" t="str">
            <v/>
          </cell>
        </row>
        <row r="543">
          <cell r="B543" t="str">
            <v/>
          </cell>
          <cell r="C543" t="str">
            <v/>
          </cell>
          <cell r="H543" t="str">
            <v/>
          </cell>
        </row>
        <row r="544">
          <cell r="B544" t="str">
            <v/>
          </cell>
          <cell r="C544" t="str">
            <v/>
          </cell>
          <cell r="H544" t="str">
            <v/>
          </cell>
        </row>
        <row r="545">
          <cell r="B545" t="str">
            <v/>
          </cell>
          <cell r="C545" t="str">
            <v/>
          </cell>
          <cell r="H545" t="str">
            <v/>
          </cell>
        </row>
        <row r="546">
          <cell r="B546" t="str">
            <v/>
          </cell>
          <cell r="C546" t="str">
            <v/>
          </cell>
          <cell r="H546" t="str">
            <v/>
          </cell>
        </row>
        <row r="547">
          <cell r="B547" t="str">
            <v/>
          </cell>
          <cell r="C547" t="str">
            <v/>
          </cell>
          <cell r="H547" t="str">
            <v/>
          </cell>
        </row>
        <row r="548">
          <cell r="B548" t="str">
            <v/>
          </cell>
          <cell r="C548" t="str">
            <v/>
          </cell>
          <cell r="H548" t="str">
            <v/>
          </cell>
        </row>
        <row r="549">
          <cell r="B549" t="str">
            <v/>
          </cell>
          <cell r="C549" t="str">
            <v/>
          </cell>
          <cell r="H549" t="str">
            <v/>
          </cell>
        </row>
        <row r="550">
          <cell r="B550" t="str">
            <v/>
          </cell>
          <cell r="C550" t="str">
            <v/>
          </cell>
          <cell r="H550" t="str">
            <v/>
          </cell>
        </row>
        <row r="551">
          <cell r="B551" t="str">
            <v/>
          </cell>
          <cell r="C551" t="str">
            <v/>
          </cell>
          <cell r="H551" t="str">
            <v/>
          </cell>
        </row>
        <row r="552">
          <cell r="B552" t="str">
            <v/>
          </cell>
          <cell r="C552" t="str">
            <v/>
          </cell>
          <cell r="H552" t="str">
            <v/>
          </cell>
        </row>
        <row r="553">
          <cell r="B553" t="str">
            <v/>
          </cell>
          <cell r="C553" t="str">
            <v/>
          </cell>
          <cell r="H553" t="str">
            <v/>
          </cell>
        </row>
        <row r="554">
          <cell r="B554" t="str">
            <v/>
          </cell>
          <cell r="C554" t="str">
            <v/>
          </cell>
          <cell r="H554" t="str">
            <v/>
          </cell>
        </row>
        <row r="555">
          <cell r="B555" t="str">
            <v/>
          </cell>
          <cell r="C555" t="str">
            <v/>
          </cell>
          <cell r="H555" t="str">
            <v/>
          </cell>
        </row>
        <row r="556">
          <cell r="B556" t="str">
            <v/>
          </cell>
          <cell r="C556" t="str">
            <v/>
          </cell>
          <cell r="H556" t="str">
            <v/>
          </cell>
        </row>
        <row r="557">
          <cell r="B557" t="str">
            <v/>
          </cell>
          <cell r="C557" t="str">
            <v/>
          </cell>
          <cell r="H557" t="str">
            <v/>
          </cell>
        </row>
        <row r="558">
          <cell r="H558" t="str">
            <v/>
          </cell>
        </row>
        <row r="559">
          <cell r="B559" t="str">
            <v/>
          </cell>
          <cell r="C559" t="str">
            <v/>
          </cell>
          <cell r="H559" t="str">
            <v/>
          </cell>
        </row>
        <row r="560">
          <cell r="B560" t="str">
            <v/>
          </cell>
          <cell r="C560" t="str">
            <v/>
          </cell>
          <cell r="H560" t="str">
            <v/>
          </cell>
        </row>
        <row r="561">
          <cell r="B561" t="str">
            <v/>
          </cell>
          <cell r="C561" t="str">
            <v/>
          </cell>
          <cell r="H561" t="str">
            <v/>
          </cell>
        </row>
        <row r="562">
          <cell r="B562" t="str">
            <v/>
          </cell>
          <cell r="C562" t="str">
            <v/>
          </cell>
          <cell r="H562" t="str">
            <v/>
          </cell>
        </row>
        <row r="563">
          <cell r="B563" t="str">
            <v/>
          </cell>
          <cell r="C563" t="str">
            <v/>
          </cell>
          <cell r="H563" t="str">
            <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even MOISAN" id="{B0835059-FA55-4CEA-A863-ACFFF7965F3A}" userId="S::mmoisan@agence-mve.org::401e8d5d-bef7-4340-905f-3bd32ee8a6d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3" dT="2021-08-24T07:35:55.18" personId="{B0835059-FA55-4CEA-A863-ACFFF7965F3A}" id="{8F7406AD-0F0C-4FAA-8F42-1C113CAEE69A}">
    <text>bien éligible pour HMS: voir FAQ Anah
http://aide-instruction.anah.gouv.fr/?p=1952</text>
  </threadedComment>
</ThreadedComments>
</file>

<file path=xl/threadedComments/threadedComment2.xml><?xml version="1.0" encoding="utf-8"?>
<ThreadedComments xmlns="http://schemas.microsoft.com/office/spreadsheetml/2018/threadedcomments" xmlns:x="http://schemas.openxmlformats.org/spreadsheetml/2006/main">
  <threadedComment ref="J21" dT="2022-08-04T09:14:30.25" personId="{B0835059-FA55-4CEA-A863-ACFFF7965F3A}" id="{C5EE307E-FE2F-4589-94C3-F6A55F9153A6}">
    <text>année 0: = situation actuelle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insee.fr/fr/statistiques/4265439?sommaire=4265511"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cologie.gouv.fr/coup-pouce-renovation-performante-dune-maison-individuell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F97B-0AF5-48E4-BB6A-AD77A42E77F8}">
  <dimension ref="A1:B20"/>
  <sheetViews>
    <sheetView zoomScale="85" zoomScaleNormal="85" workbookViewId="0">
      <selection activeCell="H1" sqref="H1"/>
    </sheetView>
  </sheetViews>
  <sheetFormatPr baseColWidth="10" defaultRowHeight="15" x14ac:dyDescent="0.25"/>
  <cols>
    <col min="1" max="1" width="5" style="461" customWidth="1"/>
    <col min="2" max="2" width="41.85546875" customWidth="1"/>
  </cols>
  <sheetData>
    <row r="1" spans="1:2" x14ac:dyDescent="0.25">
      <c r="B1" s="1" t="s">
        <v>518</v>
      </c>
    </row>
    <row r="3" spans="1:2" ht="30" x14ac:dyDescent="0.25">
      <c r="A3" s="469">
        <v>1</v>
      </c>
      <c r="B3" s="460" t="s">
        <v>538</v>
      </c>
    </row>
    <row r="4" spans="1:2" ht="45" x14ac:dyDescent="0.25">
      <c r="A4" s="469">
        <v>2</v>
      </c>
      <c r="B4" s="460" t="s">
        <v>519</v>
      </c>
    </row>
    <row r="5" spans="1:2" ht="75" x14ac:dyDescent="0.25">
      <c r="A5" s="469">
        <v>3</v>
      </c>
      <c r="B5" s="460" t="s">
        <v>619</v>
      </c>
    </row>
    <row r="6" spans="1:2" ht="75" x14ac:dyDescent="0.25">
      <c r="A6" s="469">
        <v>4</v>
      </c>
      <c r="B6" s="460" t="s">
        <v>541</v>
      </c>
    </row>
    <row r="7" spans="1:2" ht="60" x14ac:dyDescent="0.25">
      <c r="A7" s="469">
        <v>5</v>
      </c>
      <c r="B7" s="460" t="s">
        <v>520</v>
      </c>
    </row>
    <row r="8" spans="1:2" ht="45" x14ac:dyDescent="0.25">
      <c r="A8" s="469">
        <v>6</v>
      </c>
      <c r="B8" s="460" t="s">
        <v>521</v>
      </c>
    </row>
    <row r="9" spans="1:2" ht="90" x14ac:dyDescent="0.25">
      <c r="A9" s="469">
        <v>7</v>
      </c>
      <c r="B9" s="460" t="s">
        <v>529</v>
      </c>
    </row>
    <row r="10" spans="1:2" ht="60" x14ac:dyDescent="0.25">
      <c r="A10" s="469">
        <v>8</v>
      </c>
      <c r="B10" s="460" t="s">
        <v>539</v>
      </c>
    </row>
    <row r="11" spans="1:2" ht="45" x14ac:dyDescent="0.25">
      <c r="A11" s="469">
        <v>9</v>
      </c>
      <c r="B11" s="460" t="s">
        <v>546</v>
      </c>
    </row>
    <row r="12" spans="1:2" ht="45" x14ac:dyDescent="0.25">
      <c r="A12" s="469">
        <v>10</v>
      </c>
      <c r="B12" s="460" t="s">
        <v>545</v>
      </c>
    </row>
    <row r="13" spans="1:2" x14ac:dyDescent="0.25">
      <c r="A13" s="462"/>
      <c r="B13" s="460"/>
    </row>
    <row r="14" spans="1:2" x14ac:dyDescent="0.25">
      <c r="A14" s="462"/>
      <c r="B14" s="460"/>
    </row>
    <row r="15" spans="1:2" x14ac:dyDescent="0.25">
      <c r="A15" s="462"/>
      <c r="B15" s="470" t="s">
        <v>540</v>
      </c>
    </row>
    <row r="16" spans="1:2" x14ac:dyDescent="0.25">
      <c r="A16" s="468">
        <v>1</v>
      </c>
      <c r="B16" s="460" t="s">
        <v>547</v>
      </c>
    </row>
    <row r="17" spans="1:2" x14ac:dyDescent="0.25">
      <c r="A17" s="468">
        <v>2</v>
      </c>
      <c r="B17" s="460" t="s">
        <v>542</v>
      </c>
    </row>
    <row r="18" spans="1:2" x14ac:dyDescent="0.25">
      <c r="A18" s="468">
        <v>3</v>
      </c>
      <c r="B18" s="460" t="s">
        <v>542</v>
      </c>
    </row>
    <row r="19" spans="1:2" x14ac:dyDescent="0.25">
      <c r="A19" s="468">
        <v>4</v>
      </c>
      <c r="B19" s="460" t="s">
        <v>543</v>
      </c>
    </row>
    <row r="20" spans="1:2" ht="30" x14ac:dyDescent="0.25">
      <c r="A20" s="468">
        <v>5</v>
      </c>
      <c r="B20" s="460" t="s">
        <v>544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A7E3-DE63-46A3-9D22-88A90A9774C8}">
  <dimension ref="A1:AX107"/>
  <sheetViews>
    <sheetView tabSelected="1" zoomScale="85" zoomScaleNormal="85" workbookViewId="0">
      <pane xSplit="1" ySplit="20" topLeftCell="B21" activePane="bottomRight" state="frozen"/>
      <selection pane="topRight" activeCell="B1" sqref="B1"/>
      <selection pane="bottomLeft" activeCell="A5" sqref="A5"/>
      <selection pane="bottomRight" activeCell="B3" sqref="B3"/>
    </sheetView>
  </sheetViews>
  <sheetFormatPr baseColWidth="10" defaultColWidth="9.140625" defaultRowHeight="15" outlineLevelRow="1" outlineLevelCol="1" x14ac:dyDescent="0.25"/>
  <cols>
    <col min="1" max="1" width="48.140625" customWidth="1"/>
    <col min="2" max="2" width="17.42578125" customWidth="1"/>
    <col min="3" max="4" width="14.42578125" customWidth="1"/>
    <col min="5" max="5" width="13.85546875" customWidth="1"/>
    <col min="6" max="6" width="22.85546875" customWidth="1" outlineLevel="1"/>
    <col min="7" max="7" width="2.85546875" customWidth="1"/>
    <col min="8" max="8" width="22.85546875" customWidth="1" outlineLevel="1"/>
    <col min="9" max="9" width="2.85546875" customWidth="1"/>
    <col min="10" max="10" width="13.42578125" customWidth="1" outlineLevel="1"/>
    <col min="11" max="11" width="2.85546875" customWidth="1"/>
    <col min="12" max="12" width="18.140625" customWidth="1" outlineLevel="1"/>
    <col min="13" max="13" width="2.85546875" style="2" customWidth="1"/>
    <col min="14" max="15" width="10.5703125" customWidth="1" outlineLevel="1"/>
    <col min="16" max="16" width="1.140625" style="2" customWidth="1"/>
    <col min="17" max="18" width="9.85546875" style="2" customWidth="1" outlineLevel="1"/>
    <col min="19" max="19" width="1.140625" style="2" customWidth="1"/>
    <col min="20" max="20" width="15.140625" customWidth="1" outlineLevel="1"/>
    <col min="21" max="21" width="15" customWidth="1" outlineLevel="1"/>
    <col min="22" max="22" width="4.5703125" style="2" customWidth="1"/>
    <col min="23" max="23" width="17.5703125" style="2" bestFit="1" customWidth="1"/>
    <col min="24" max="27" width="9.140625" style="2"/>
  </cols>
  <sheetData>
    <row r="1" spans="1:21" ht="15.75" thickBot="1" x14ac:dyDescent="0.3">
      <c r="A1" s="478" t="s">
        <v>522</v>
      </c>
      <c r="B1" s="2"/>
      <c r="C1" s="2"/>
      <c r="D1" s="2"/>
      <c r="E1" s="2"/>
      <c r="F1" s="2"/>
      <c r="G1" s="2"/>
      <c r="H1" s="2"/>
      <c r="I1" s="2"/>
      <c r="J1" s="2"/>
      <c r="K1" s="2"/>
      <c r="L1" s="2"/>
      <c r="N1" s="2"/>
      <c r="O1" s="2"/>
      <c r="T1" s="2"/>
      <c r="U1" s="2"/>
    </row>
    <row r="2" spans="1:21" x14ac:dyDescent="0.25">
      <c r="A2" s="537" t="s">
        <v>499</v>
      </c>
      <c r="B2" s="473" t="s">
        <v>655</v>
      </c>
      <c r="C2" s="2"/>
      <c r="D2" s="2"/>
      <c r="E2" s="2"/>
      <c r="F2" s="2"/>
      <c r="G2" s="2"/>
      <c r="H2" s="2"/>
      <c r="I2" s="2"/>
      <c r="J2" s="2"/>
      <c r="K2" s="2"/>
      <c r="L2" s="2"/>
      <c r="N2" s="2"/>
      <c r="O2" s="2"/>
      <c r="T2" s="2"/>
      <c r="U2" s="2"/>
    </row>
    <row r="3" spans="1:21" x14ac:dyDescent="0.25">
      <c r="A3" s="538" t="s">
        <v>481</v>
      </c>
      <c r="B3" s="539" t="s">
        <v>191</v>
      </c>
      <c r="C3" s="2"/>
      <c r="D3" s="2"/>
      <c r="E3" s="2"/>
      <c r="F3" s="2"/>
      <c r="G3" s="2"/>
      <c r="H3" s="2"/>
      <c r="I3" s="2"/>
      <c r="J3" s="2"/>
      <c r="K3" s="2"/>
      <c r="L3" s="2"/>
      <c r="N3" s="2"/>
      <c r="O3" s="2"/>
      <c r="T3" s="2"/>
      <c r="U3" s="2"/>
    </row>
    <row r="4" spans="1:21" x14ac:dyDescent="0.25">
      <c r="A4" s="538" t="s">
        <v>515</v>
      </c>
      <c r="B4" s="475">
        <v>100</v>
      </c>
      <c r="C4" s="2"/>
      <c r="D4" s="2"/>
      <c r="E4" s="2"/>
      <c r="F4" s="2"/>
      <c r="G4" s="2"/>
      <c r="H4" s="2"/>
      <c r="I4" s="2"/>
      <c r="J4" s="2"/>
      <c r="K4" s="2"/>
      <c r="L4" s="2"/>
      <c r="N4" s="2"/>
      <c r="O4" s="2"/>
      <c r="T4" s="2"/>
      <c r="U4" s="2"/>
    </row>
    <row r="5" spans="1:21" hidden="1" outlineLevel="1" x14ac:dyDescent="0.25">
      <c r="A5" s="538" t="s">
        <v>482</v>
      </c>
      <c r="B5" s="540">
        <f>HLOOKUP($B$3,Matrices!D106:H139,34,FALSE)</f>
        <v>0.9</v>
      </c>
      <c r="C5" s="2"/>
      <c r="D5" s="2"/>
      <c r="E5" s="2"/>
      <c r="F5" s="2"/>
      <c r="G5" s="2"/>
      <c r="H5" s="2"/>
      <c r="I5" s="2"/>
      <c r="J5" s="2"/>
      <c r="K5" s="2"/>
      <c r="L5" s="2"/>
      <c r="N5" s="2"/>
      <c r="O5" s="2"/>
      <c r="T5" s="2"/>
      <c r="U5" s="2"/>
    </row>
    <row r="6" spans="1:21" ht="15.75" collapsed="1" thickBot="1" x14ac:dyDescent="0.3">
      <c r="A6" s="541" t="s">
        <v>523</v>
      </c>
      <c r="B6" s="542" t="s">
        <v>38</v>
      </c>
      <c r="C6" s="2"/>
      <c r="D6" s="2"/>
      <c r="E6" s="2"/>
      <c r="F6" s="2"/>
      <c r="G6" s="2"/>
      <c r="H6" s="2"/>
      <c r="I6" s="2"/>
      <c r="J6" s="2"/>
      <c r="K6" s="2"/>
      <c r="L6" s="2"/>
      <c r="N6" s="2"/>
      <c r="O6" s="2"/>
      <c r="T6" s="2"/>
      <c r="U6" s="2"/>
    </row>
    <row r="7" spans="1:21" ht="8.25" customHeight="1" x14ac:dyDescent="0.25">
      <c r="A7" s="2"/>
      <c r="B7" s="2"/>
      <c r="C7" s="2"/>
      <c r="D7" s="2"/>
      <c r="E7" s="2"/>
      <c r="F7" s="2"/>
      <c r="G7" s="2"/>
      <c r="H7" s="2"/>
      <c r="I7" s="2"/>
      <c r="J7" s="2"/>
      <c r="K7" s="2"/>
      <c r="L7" s="2"/>
      <c r="N7" s="2"/>
      <c r="O7" s="2"/>
      <c r="T7" s="2"/>
      <c r="U7" s="2"/>
    </row>
    <row r="8" spans="1:21" x14ac:dyDescent="0.25">
      <c r="A8" s="622" t="s">
        <v>493</v>
      </c>
      <c r="B8" s="623" t="s">
        <v>21</v>
      </c>
      <c r="C8" s="2"/>
      <c r="D8" s="2"/>
      <c r="E8" s="2"/>
      <c r="F8" s="2"/>
      <c r="G8" s="2"/>
      <c r="H8" s="2"/>
      <c r="I8" s="2"/>
      <c r="J8" s="2"/>
      <c r="K8" s="2"/>
      <c r="L8" s="2"/>
      <c r="N8" s="2"/>
      <c r="O8" s="2"/>
      <c r="T8" s="2"/>
      <c r="U8" s="2"/>
    </row>
    <row r="9" spans="1:21" hidden="1" outlineLevel="1" x14ac:dyDescent="0.25">
      <c r="A9" s="474" t="s">
        <v>590</v>
      </c>
      <c r="B9" s="653">
        <v>0.35</v>
      </c>
      <c r="C9" s="651" t="str">
        <f>IF(B9&gt;0.54,"aide rénovation globale MPR et Coup de pouce CEE accessibles",IF(B9&gt;0.34,("aide MPR sérénité et CEE BAR TH-164  accessible"),("pas d'aide forfaitaire")))</f>
        <v>aide MPR sérénité et CEE BAR TH-164  accessible</v>
      </c>
      <c r="D9" s="619"/>
      <c r="E9" s="620"/>
      <c r="F9" s="619"/>
      <c r="G9" s="2"/>
      <c r="H9" s="2"/>
      <c r="I9" s="2"/>
      <c r="J9" s="2"/>
      <c r="K9" s="2"/>
      <c r="L9" s="2"/>
      <c r="N9" s="2"/>
      <c r="O9" s="2"/>
      <c r="T9" s="2"/>
      <c r="U9" s="2"/>
    </row>
    <row r="10" spans="1:21" hidden="1" outlineLevel="1" x14ac:dyDescent="0.25">
      <c r="A10" s="474" t="s">
        <v>494</v>
      </c>
      <c r="B10" s="340">
        <v>300</v>
      </c>
      <c r="C10" s="652" t="str">
        <f>IF(B10&gt;330,IF(B11&lt;330,"Bonus MPR sortie de passoire"," ")," ")</f>
        <v xml:space="preserve"> </v>
      </c>
      <c r="D10" s="619"/>
      <c r="E10" s="619"/>
      <c r="F10" s="619"/>
      <c r="G10" s="2"/>
      <c r="H10" s="2"/>
      <c r="I10" s="2"/>
      <c r="J10" s="2"/>
      <c r="K10" s="2"/>
      <c r="L10" s="2"/>
      <c r="N10" s="2"/>
      <c r="O10" s="2"/>
      <c r="T10" s="2"/>
      <c r="U10" s="2"/>
    </row>
    <row r="11" spans="1:21" ht="15.75" hidden="1" outlineLevel="1" thickBot="1" x14ac:dyDescent="0.3">
      <c r="A11" s="660" t="s">
        <v>495</v>
      </c>
      <c r="B11" s="624">
        <f>(1-B9)*B10</f>
        <v>195</v>
      </c>
      <c r="C11" s="652" t="str">
        <f>IF(B11&gt;110," ","Cep futur &lt; 110: MPR bonus  BBC")</f>
        <v xml:space="preserve"> </v>
      </c>
      <c r="D11" s="619"/>
      <c r="E11" s="619"/>
      <c r="F11" s="619"/>
      <c r="G11" s="2"/>
      <c r="H11" s="2"/>
      <c r="I11" s="2"/>
      <c r="J11" s="2"/>
      <c r="K11" s="2"/>
      <c r="L11" s="2"/>
      <c r="N11" s="2"/>
      <c r="O11" s="2"/>
      <c r="T11" s="2"/>
      <c r="U11" s="2"/>
    </row>
    <row r="12" spans="1:21" ht="48" hidden="1" customHeight="1" outlineLevel="1" thickBot="1" x14ac:dyDescent="0.3">
      <c r="A12" s="545" t="s">
        <v>526</v>
      </c>
      <c r="B12" s="546" t="s">
        <v>21</v>
      </c>
      <c r="C12" s="652" t="s">
        <v>537</v>
      </c>
      <c r="D12" s="619"/>
      <c r="E12" s="619"/>
      <c r="F12" s="2"/>
      <c r="G12" s="2"/>
      <c r="H12" s="2"/>
      <c r="I12" s="2"/>
      <c r="J12" s="2"/>
      <c r="K12" s="2"/>
      <c r="L12" s="2"/>
      <c r="N12" s="2"/>
      <c r="O12" s="2"/>
      <c r="T12" s="2"/>
      <c r="U12" s="2"/>
    </row>
    <row r="13" spans="1:21" ht="8.25" customHeight="1" collapsed="1" x14ac:dyDescent="0.25">
      <c r="A13" s="547"/>
      <c r="B13" s="423"/>
      <c r="C13" s="544"/>
      <c r="D13" s="2"/>
      <c r="E13" s="2"/>
      <c r="F13" s="2"/>
      <c r="G13" s="2"/>
      <c r="H13" s="2"/>
      <c r="I13" s="2"/>
      <c r="J13" s="2"/>
      <c r="K13" s="2"/>
      <c r="L13" s="2"/>
      <c r="N13" s="2"/>
      <c r="O13" s="2"/>
      <c r="T13" s="2"/>
      <c r="U13" s="2"/>
    </row>
    <row r="14" spans="1:21" hidden="1" outlineLevel="1" x14ac:dyDescent="0.25">
      <c r="A14" s="656" t="s">
        <v>496</v>
      </c>
      <c r="B14" s="625">
        <f>(B10-B11)*B4/1000</f>
        <v>10.5</v>
      </c>
      <c r="C14" s="543"/>
      <c r="D14" s="2"/>
      <c r="E14" s="2"/>
      <c r="F14" s="2"/>
      <c r="G14" s="2"/>
      <c r="H14" s="2"/>
      <c r="I14" s="2"/>
      <c r="J14" s="2"/>
      <c r="K14" s="2"/>
      <c r="L14" s="2"/>
      <c r="N14" s="2"/>
      <c r="O14" s="2"/>
      <c r="T14" s="2"/>
      <c r="U14" s="2"/>
    </row>
    <row r="15" spans="1:21" hidden="1" outlineLevel="1" x14ac:dyDescent="0.25">
      <c r="A15" s="658" t="s">
        <v>527</v>
      </c>
      <c r="B15" s="626">
        <f>IF(B9&lt;0.35,0,1)</f>
        <v>1</v>
      </c>
      <c r="C15" s="543"/>
      <c r="D15" s="2"/>
      <c r="E15" s="2"/>
      <c r="F15" s="2"/>
      <c r="G15" s="2"/>
      <c r="H15" s="2"/>
      <c r="I15" s="2"/>
      <c r="J15" s="2"/>
      <c r="K15" s="2"/>
      <c r="L15" s="2"/>
      <c r="N15" s="2"/>
      <c r="O15" s="2"/>
      <c r="T15" s="2"/>
      <c r="U15" s="2"/>
    </row>
    <row r="16" spans="1:21" ht="15.75" hidden="1" outlineLevel="1" thickBot="1" x14ac:dyDescent="0.3">
      <c r="A16" s="660" t="s">
        <v>528</v>
      </c>
      <c r="B16" s="624">
        <f>IF(B9&lt;0.35,0,IF(B9&lt;0.55,90,IF(B3="Très modestes",IF(B11&lt;111,350,250),IF(B11&lt;111,300,200))))</f>
        <v>90</v>
      </c>
      <c r="C16" s="543"/>
      <c r="D16" s="2"/>
      <c r="E16" s="2"/>
      <c r="F16" s="2"/>
      <c r="G16" s="2"/>
      <c r="H16" s="2"/>
      <c r="I16" s="2"/>
      <c r="J16" s="2"/>
      <c r="K16" s="2"/>
      <c r="L16" s="2"/>
      <c r="N16" s="2"/>
      <c r="O16" s="2"/>
      <c r="T16" s="2"/>
      <c r="U16" s="2"/>
    </row>
    <row r="17" spans="1:21" ht="9.75" customHeight="1" collapsed="1" thickBot="1" x14ac:dyDescent="0.3">
      <c r="A17" s="478"/>
      <c r="B17" s="478"/>
      <c r="C17" s="478"/>
      <c r="D17" s="2"/>
      <c r="E17" s="2"/>
      <c r="F17" s="2"/>
      <c r="G17" s="2"/>
      <c r="H17" s="2"/>
      <c r="I17" s="2"/>
      <c r="J17" s="2"/>
      <c r="K17" s="2"/>
      <c r="L17" s="2"/>
      <c r="N17" s="2"/>
      <c r="O17" s="2"/>
      <c r="T17" s="2"/>
      <c r="U17" s="2"/>
    </row>
    <row r="18" spans="1:21" ht="15.75" hidden="1" thickBot="1" x14ac:dyDescent="0.3">
      <c r="A18" s="478" t="s">
        <v>516</v>
      </c>
      <c r="B18" s="478"/>
      <c r="C18" s="478"/>
      <c r="D18" s="2"/>
      <c r="E18" s="2"/>
      <c r="F18" s="2"/>
      <c r="G18" s="2"/>
      <c r="H18" s="2"/>
      <c r="I18" s="2"/>
      <c r="J18" s="2"/>
      <c r="K18" s="2"/>
      <c r="L18" s="2"/>
      <c r="N18" s="2">
        <f>IF(B5=0.9,3,IF(B5=0.75,4,IF(B5=0.6,5,6)))</f>
        <v>3</v>
      </c>
      <c r="O18" s="2"/>
      <c r="Q18" s="2">
        <f>IF(B6="electricité",IF(B5=0.9,14,IF(B5=0.75,15,IF(B5=0.6,16,17))),IF(B5=0.9,9,IF(B5=0.75,10,IF(B5=0.6,11,12))))</f>
        <v>9</v>
      </c>
      <c r="T18" s="2"/>
      <c r="U18" s="2"/>
    </row>
    <row r="19" spans="1:21" ht="15.75" thickBot="1" x14ac:dyDescent="0.3">
      <c r="A19" s="2"/>
      <c r="B19" s="2"/>
      <c r="C19" s="2"/>
      <c r="D19" s="478"/>
      <c r="E19" s="2"/>
      <c r="F19" s="120" t="s">
        <v>503</v>
      </c>
      <c r="G19" s="2"/>
      <c r="H19" s="120" t="s">
        <v>503</v>
      </c>
      <c r="I19" s="2"/>
      <c r="J19" s="120" t="s">
        <v>535</v>
      </c>
      <c r="K19" s="2"/>
      <c r="L19" s="120" t="s">
        <v>535</v>
      </c>
      <c r="M19" s="2" t="s">
        <v>487</v>
      </c>
      <c r="N19" s="666" t="s">
        <v>589</v>
      </c>
      <c r="O19" s="667"/>
      <c r="P19" s="496"/>
      <c r="Q19" s="666" t="s">
        <v>588</v>
      </c>
      <c r="R19" s="667"/>
      <c r="S19" s="496"/>
      <c r="T19" s="120" t="s">
        <v>536</v>
      </c>
      <c r="U19" s="548"/>
    </row>
    <row r="20" spans="1:21" ht="60.75" thickBot="1" x14ac:dyDescent="0.3">
      <c r="A20" s="575" t="s">
        <v>1</v>
      </c>
      <c r="B20" s="576" t="s">
        <v>488</v>
      </c>
      <c r="C20" s="577" t="s">
        <v>490</v>
      </c>
      <c r="D20" s="577" t="s">
        <v>492</v>
      </c>
      <c r="E20" s="578" t="s">
        <v>500</v>
      </c>
      <c r="F20" s="616" t="s">
        <v>654</v>
      </c>
      <c r="G20" s="550"/>
      <c r="H20" s="617" t="s">
        <v>524</v>
      </c>
      <c r="I20" s="550"/>
      <c r="J20" s="551" t="s">
        <v>525</v>
      </c>
      <c r="K20" s="550"/>
      <c r="L20" s="551" t="s">
        <v>579</v>
      </c>
      <c r="M20" s="550"/>
      <c r="N20" s="552" t="s">
        <v>513</v>
      </c>
      <c r="O20" s="551" t="s">
        <v>514</v>
      </c>
      <c r="P20" s="550"/>
      <c r="Q20" s="552" t="s">
        <v>587</v>
      </c>
      <c r="R20" s="551" t="s">
        <v>586</v>
      </c>
      <c r="S20" s="550"/>
      <c r="T20" s="551" t="s">
        <v>485</v>
      </c>
      <c r="U20" s="549" t="s">
        <v>486</v>
      </c>
    </row>
    <row r="21" spans="1:21" x14ac:dyDescent="0.25">
      <c r="A21" s="656" t="s">
        <v>244</v>
      </c>
      <c r="B21" s="657" t="s">
        <v>489</v>
      </c>
      <c r="C21" s="558">
        <v>0</v>
      </c>
      <c r="D21" s="580">
        <v>16000</v>
      </c>
      <c r="E21" s="627">
        <f t="shared" ref="E21:E24" si="0">D21*C21</f>
        <v>0</v>
      </c>
      <c r="F21" s="630">
        <f>0.5*$E21/1.055</f>
        <v>0</v>
      </c>
      <c r="G21" s="555"/>
      <c r="H21" s="573">
        <f>0.35*$E21/1.055</f>
        <v>0</v>
      </c>
      <c r="I21" s="555"/>
      <c r="J21" s="569"/>
      <c r="K21" s="555"/>
      <c r="L21" s="569"/>
      <c r="M21" s="555"/>
      <c r="N21" s="636">
        <f>VLOOKUP(A21,Matrices!$B$107:$M$137,N$18,FALSE)</f>
        <v>11000</v>
      </c>
      <c r="O21" s="628">
        <f>C21*N21</f>
        <v>0</v>
      </c>
      <c r="P21" s="554"/>
      <c r="Q21" s="640">
        <f>VLOOKUP(A21,Matrices!$B$107:$R$134,Q$18,FALSE)</f>
        <v>4000</v>
      </c>
      <c r="R21" s="627">
        <f t="shared" ref="R21:R46" si="1">C21*Q21</f>
        <v>0</v>
      </c>
      <c r="S21" s="557"/>
      <c r="T21" s="635">
        <f t="shared" ref="T21:T46" si="2">IF((O21+R21)&lt;$B$5*E21,O21+R21,$B$5*E21)</f>
        <v>0</v>
      </c>
      <c r="U21" s="662" t="str">
        <f>IF((O21+R21)=0,"",(O21+R21)/E21)</f>
        <v/>
      </c>
    </row>
    <row r="22" spans="1:21" x14ac:dyDescent="0.25">
      <c r="A22" s="658" t="s">
        <v>245</v>
      </c>
      <c r="B22" s="659" t="s">
        <v>489</v>
      </c>
      <c r="C22" s="149">
        <v>1</v>
      </c>
      <c r="D22" s="579">
        <v>12000</v>
      </c>
      <c r="E22" s="628">
        <f t="shared" si="0"/>
        <v>12000</v>
      </c>
      <c r="F22" s="631">
        <f>0.5*$E22/1.055</f>
        <v>5687.2037914691946</v>
      </c>
      <c r="G22" s="555"/>
      <c r="H22" s="574">
        <f>0.35*$E22/1.055</f>
        <v>3981.0426540284361</v>
      </c>
      <c r="I22" s="555"/>
      <c r="J22" s="570"/>
      <c r="K22" s="555"/>
      <c r="L22" s="570"/>
      <c r="M22" s="555"/>
      <c r="N22" s="636">
        <f>VLOOKUP(A22,Matrices!$B$107:$M$137,N$18,FALSE)</f>
        <v>11000</v>
      </c>
      <c r="O22" s="628">
        <f t="shared" ref="O22:O39" si="3">C22*N22</f>
        <v>11000</v>
      </c>
      <c r="P22" s="554"/>
      <c r="Q22" s="636">
        <f>VLOOKUP(A22,Matrices!$B$107:$R$134,Q$18,FALSE)</f>
        <v>4000</v>
      </c>
      <c r="R22" s="628">
        <f t="shared" si="1"/>
        <v>4000</v>
      </c>
      <c r="S22" s="557"/>
      <c r="T22" s="633">
        <f t="shared" si="2"/>
        <v>10800</v>
      </c>
      <c r="U22" s="663">
        <f>IF((O22+R22)=0,"",(O22+R22)/E22)</f>
        <v>1.25</v>
      </c>
    </row>
    <row r="23" spans="1:21" x14ac:dyDescent="0.25">
      <c r="A23" s="658" t="s">
        <v>246</v>
      </c>
      <c r="B23" s="659" t="s">
        <v>489</v>
      </c>
      <c r="C23" s="149">
        <v>0</v>
      </c>
      <c r="D23" s="579">
        <v>13000</v>
      </c>
      <c r="E23" s="628">
        <f t="shared" si="0"/>
        <v>0</v>
      </c>
      <c r="F23" s="631">
        <f t="shared" ref="F23:F46" si="4">0.5*$E23/1.055</f>
        <v>0</v>
      </c>
      <c r="G23" s="555"/>
      <c r="H23" s="574">
        <f t="shared" ref="H23:H47" si="5">0.35*$E23/1.055</f>
        <v>0</v>
      </c>
      <c r="I23" s="555"/>
      <c r="J23" s="570"/>
      <c r="K23" s="555"/>
      <c r="L23" s="570"/>
      <c r="M23" s="555"/>
      <c r="N23" s="636">
        <f>VLOOKUP(A23,Matrices!$B$107:$M$137,N$18,FALSE)</f>
        <v>11000</v>
      </c>
      <c r="O23" s="628">
        <f t="shared" si="3"/>
        <v>0</v>
      </c>
      <c r="P23" s="554"/>
      <c r="Q23" s="636">
        <f>VLOOKUP(A23,Matrices!$B$107:$R$134,Q$18,FALSE)</f>
        <v>4000</v>
      </c>
      <c r="R23" s="628">
        <f t="shared" si="1"/>
        <v>0</v>
      </c>
      <c r="S23" s="557"/>
      <c r="T23" s="633">
        <f t="shared" si="2"/>
        <v>0</v>
      </c>
      <c r="U23" s="663" t="str">
        <f t="shared" ref="U23:U46" si="6">IF((O23+R23)=0,"",(O23+R23)/E23)</f>
        <v/>
      </c>
    </row>
    <row r="24" spans="1:21" x14ac:dyDescent="0.25">
      <c r="A24" s="658" t="s">
        <v>247</v>
      </c>
      <c r="B24" s="659" t="s">
        <v>489</v>
      </c>
      <c r="C24" s="149">
        <v>0</v>
      </c>
      <c r="D24" s="579">
        <v>15000</v>
      </c>
      <c r="E24" s="628">
        <f t="shared" si="0"/>
        <v>0</v>
      </c>
      <c r="F24" s="631">
        <f t="shared" si="4"/>
        <v>0</v>
      </c>
      <c r="G24" s="555"/>
      <c r="H24" s="574">
        <f t="shared" si="5"/>
        <v>0</v>
      </c>
      <c r="I24" s="555"/>
      <c r="J24" s="570"/>
      <c r="K24" s="555"/>
      <c r="L24" s="570"/>
      <c r="M24" s="555"/>
      <c r="N24" s="636">
        <f>VLOOKUP(A24,Matrices!$B$107:$M$137,N$18,FALSE)</f>
        <v>9000</v>
      </c>
      <c r="O24" s="628">
        <f t="shared" si="3"/>
        <v>0</v>
      </c>
      <c r="P24" s="554"/>
      <c r="Q24" s="636">
        <f>VLOOKUP(A24,Matrices!$B$107:$R$134,Q$18,FALSE)</f>
        <v>4000</v>
      </c>
      <c r="R24" s="628">
        <f t="shared" si="1"/>
        <v>0</v>
      </c>
      <c r="S24" s="557"/>
      <c r="T24" s="633">
        <f t="shared" si="2"/>
        <v>0</v>
      </c>
      <c r="U24" s="663" t="str">
        <f t="shared" si="6"/>
        <v/>
      </c>
    </row>
    <row r="25" spans="1:21" x14ac:dyDescent="0.25">
      <c r="A25" s="658" t="s">
        <v>248</v>
      </c>
      <c r="B25" s="659" t="s">
        <v>489</v>
      </c>
      <c r="C25" s="149">
        <v>0</v>
      </c>
      <c r="D25" s="579">
        <v>12500</v>
      </c>
      <c r="E25" s="628">
        <f>D25*C25</f>
        <v>0</v>
      </c>
      <c r="F25" s="631">
        <f t="shared" si="4"/>
        <v>0</v>
      </c>
      <c r="G25" s="557"/>
      <c r="H25" s="574">
        <f t="shared" si="5"/>
        <v>0</v>
      </c>
      <c r="I25" s="557"/>
      <c r="J25" s="570"/>
      <c r="K25" s="557"/>
      <c r="L25" s="570"/>
      <c r="M25" s="557"/>
      <c r="N25" s="636">
        <f>VLOOKUP(A25,Matrices!$B$107:$M$137,N$18,FALSE)</f>
        <v>5000</v>
      </c>
      <c r="O25" s="628">
        <f t="shared" si="3"/>
        <v>0</v>
      </c>
      <c r="P25" s="554"/>
      <c r="Q25" s="636">
        <f>VLOOKUP(A25,Matrices!$B$107:$R$134,Q$18,FALSE)</f>
        <v>4000</v>
      </c>
      <c r="R25" s="628">
        <f t="shared" si="1"/>
        <v>0</v>
      </c>
      <c r="S25" s="557"/>
      <c r="T25" s="633">
        <f t="shared" si="2"/>
        <v>0</v>
      </c>
      <c r="U25" s="663" t="str">
        <f t="shared" si="6"/>
        <v/>
      </c>
    </row>
    <row r="26" spans="1:21" x14ac:dyDescent="0.25">
      <c r="A26" s="658" t="s">
        <v>249</v>
      </c>
      <c r="B26" s="659" t="s">
        <v>489</v>
      </c>
      <c r="C26" s="149">
        <v>0</v>
      </c>
      <c r="D26" s="579">
        <v>0</v>
      </c>
      <c r="E26" s="628">
        <f t="shared" ref="E26:E36" si="7">D26*C26</f>
        <v>0</v>
      </c>
      <c r="F26" s="631">
        <f t="shared" si="4"/>
        <v>0</v>
      </c>
      <c r="G26" s="555"/>
      <c r="H26" s="574">
        <f t="shared" si="5"/>
        <v>0</v>
      </c>
      <c r="I26" s="555"/>
      <c r="J26" s="570"/>
      <c r="K26" s="555"/>
      <c r="L26" s="570"/>
      <c r="M26" s="555"/>
      <c r="N26" s="636">
        <f>VLOOKUP(A26,Matrices!$B$107:$M$137,N$18,FALSE)</f>
        <v>1200</v>
      </c>
      <c r="O26" s="628">
        <f t="shared" si="3"/>
        <v>0</v>
      </c>
      <c r="P26" s="554"/>
      <c r="Q26" s="636">
        <f>VLOOKUP(A26,Matrices!$B$107:$R$134,Q$18,FALSE)</f>
        <v>700</v>
      </c>
      <c r="R26" s="628">
        <f t="shared" si="1"/>
        <v>0</v>
      </c>
      <c r="S26" s="557"/>
      <c r="T26" s="633">
        <f t="shared" si="2"/>
        <v>0</v>
      </c>
      <c r="U26" s="663" t="str">
        <f t="shared" si="6"/>
        <v/>
      </c>
    </row>
    <row r="27" spans="1:21" x14ac:dyDescent="0.25">
      <c r="A27" s="658" t="s">
        <v>252</v>
      </c>
      <c r="B27" s="659" t="s">
        <v>489</v>
      </c>
      <c r="C27" s="149">
        <v>0</v>
      </c>
      <c r="D27" s="579">
        <v>4500</v>
      </c>
      <c r="E27" s="628">
        <f t="shared" si="7"/>
        <v>0</v>
      </c>
      <c r="F27" s="631">
        <f>0.5*$E27/1.055</f>
        <v>0</v>
      </c>
      <c r="G27" s="555"/>
      <c r="H27" s="574">
        <f t="shared" si="5"/>
        <v>0</v>
      </c>
      <c r="I27" s="555"/>
      <c r="J27" s="570"/>
      <c r="K27" s="555"/>
      <c r="L27" s="570"/>
      <c r="M27" s="555"/>
      <c r="N27" s="636">
        <f>VLOOKUP(A27,Matrices!$B$107:$M$137,N$18,FALSE)</f>
        <v>3000</v>
      </c>
      <c r="O27" s="628">
        <f t="shared" si="3"/>
        <v>0</v>
      </c>
      <c r="P27" s="554"/>
      <c r="Q27" s="636">
        <f>VLOOKUP(A27,Matrices!$B$107:$R$134,Q$18,FALSE)</f>
        <v>450</v>
      </c>
      <c r="R27" s="628">
        <f t="shared" si="1"/>
        <v>0</v>
      </c>
      <c r="S27" s="557"/>
      <c r="T27" s="633">
        <f t="shared" si="2"/>
        <v>0</v>
      </c>
      <c r="U27" s="663" t="str">
        <f t="shared" si="6"/>
        <v/>
      </c>
    </row>
    <row r="28" spans="1:21" x14ac:dyDescent="0.25">
      <c r="A28" s="658" t="s">
        <v>253</v>
      </c>
      <c r="B28" s="659" t="s">
        <v>489</v>
      </c>
      <c r="C28" s="149">
        <v>0</v>
      </c>
      <c r="D28" s="579">
        <v>3500</v>
      </c>
      <c r="E28" s="628">
        <f t="shared" si="7"/>
        <v>0</v>
      </c>
      <c r="F28" s="631">
        <f t="shared" si="4"/>
        <v>0</v>
      </c>
      <c r="G28" s="555"/>
      <c r="H28" s="574">
        <f t="shared" si="5"/>
        <v>0</v>
      </c>
      <c r="I28" s="555"/>
      <c r="J28" s="570"/>
      <c r="K28" s="555"/>
      <c r="L28" s="570"/>
      <c r="M28" s="555"/>
      <c r="N28" s="636">
        <f>VLOOKUP(A28,Matrices!$B$107:$M$137,N$18,FALSE)</f>
        <v>2500</v>
      </c>
      <c r="O28" s="628">
        <f t="shared" si="3"/>
        <v>0</v>
      </c>
      <c r="P28" s="554"/>
      <c r="Q28" s="636">
        <f>VLOOKUP(A28,Matrices!$B$107:$R$134,Q$18,FALSE)</f>
        <v>450</v>
      </c>
      <c r="R28" s="628">
        <f t="shared" si="1"/>
        <v>0</v>
      </c>
      <c r="S28" s="557"/>
      <c r="T28" s="633">
        <f t="shared" si="2"/>
        <v>0</v>
      </c>
      <c r="U28" s="663" t="str">
        <f t="shared" si="6"/>
        <v/>
      </c>
    </row>
    <row r="29" spans="1:21" x14ac:dyDescent="0.25">
      <c r="A29" s="658" t="s">
        <v>254</v>
      </c>
      <c r="B29" s="659" t="s">
        <v>489</v>
      </c>
      <c r="C29" s="149">
        <v>0</v>
      </c>
      <c r="D29" s="579">
        <v>5500</v>
      </c>
      <c r="E29" s="628">
        <f t="shared" si="7"/>
        <v>0</v>
      </c>
      <c r="F29" s="631">
        <f t="shared" si="4"/>
        <v>0</v>
      </c>
      <c r="G29" s="555"/>
      <c r="H29" s="574">
        <f t="shared" si="5"/>
        <v>0</v>
      </c>
      <c r="I29" s="555"/>
      <c r="J29" s="570"/>
      <c r="K29" s="555"/>
      <c r="L29" s="570"/>
      <c r="M29" s="555"/>
      <c r="N29" s="636">
        <f>VLOOKUP(A29,Matrices!$B$107:$M$137,N$18,FALSE)</f>
        <v>2500</v>
      </c>
      <c r="O29" s="628">
        <f t="shared" si="3"/>
        <v>0</v>
      </c>
      <c r="P29" s="554"/>
      <c r="Q29" s="636">
        <f>VLOOKUP(A29,Matrices!$B$107:$R$134,Q$18,FALSE)</f>
        <v>251</v>
      </c>
      <c r="R29" s="628">
        <f t="shared" si="1"/>
        <v>0</v>
      </c>
      <c r="S29" s="557"/>
      <c r="T29" s="633">
        <f t="shared" si="2"/>
        <v>0</v>
      </c>
      <c r="U29" s="663" t="str">
        <f t="shared" si="6"/>
        <v/>
      </c>
    </row>
    <row r="30" spans="1:21" x14ac:dyDescent="0.25">
      <c r="A30" s="658" t="s">
        <v>255</v>
      </c>
      <c r="B30" s="659" t="s">
        <v>489</v>
      </c>
      <c r="C30" s="149">
        <v>0</v>
      </c>
      <c r="D30" s="579">
        <v>3500</v>
      </c>
      <c r="E30" s="628">
        <f t="shared" si="7"/>
        <v>0</v>
      </c>
      <c r="F30" s="631">
        <f t="shared" si="4"/>
        <v>0</v>
      </c>
      <c r="G30" s="555"/>
      <c r="H30" s="574">
        <f t="shared" si="5"/>
        <v>0</v>
      </c>
      <c r="I30" s="555"/>
      <c r="J30" s="570"/>
      <c r="K30" s="555"/>
      <c r="L30" s="570"/>
      <c r="M30" s="555"/>
      <c r="N30" s="636">
        <f>VLOOKUP(A30,Matrices!$B$107:$M$137,N$18,FALSE)</f>
        <v>2000</v>
      </c>
      <c r="O30" s="628">
        <f t="shared" si="3"/>
        <v>0</v>
      </c>
      <c r="P30" s="554"/>
      <c r="Q30" s="636">
        <f>VLOOKUP(A30,Matrices!$B$107:$R$134,Q$18,FALSE)</f>
        <v>73</v>
      </c>
      <c r="R30" s="628">
        <f t="shared" si="1"/>
        <v>0</v>
      </c>
      <c r="S30" s="557"/>
      <c r="T30" s="633">
        <f t="shared" si="2"/>
        <v>0</v>
      </c>
      <c r="U30" s="663" t="str">
        <f t="shared" si="6"/>
        <v/>
      </c>
    </row>
    <row r="31" spans="1:21" x14ac:dyDescent="0.25">
      <c r="A31" s="658" t="s">
        <v>256</v>
      </c>
      <c r="B31" s="659" t="s">
        <v>489</v>
      </c>
      <c r="C31" s="149">
        <v>0</v>
      </c>
      <c r="D31" s="579">
        <v>4500</v>
      </c>
      <c r="E31" s="628">
        <f t="shared" si="7"/>
        <v>0</v>
      </c>
      <c r="F31" s="631">
        <f t="shared" si="4"/>
        <v>0</v>
      </c>
      <c r="G31" s="555"/>
      <c r="H31" s="574">
        <f t="shared" si="5"/>
        <v>0</v>
      </c>
      <c r="I31" s="555"/>
      <c r="J31" s="570"/>
      <c r="K31" s="555"/>
      <c r="L31" s="570"/>
      <c r="M31" s="555"/>
      <c r="N31" s="636">
        <f>VLOOKUP(A31,Matrices!$B$107:$M$137,N$18,FALSE)</f>
        <v>0</v>
      </c>
      <c r="O31" s="628">
        <f t="shared" si="3"/>
        <v>0</v>
      </c>
      <c r="P31" s="554"/>
      <c r="Q31" s="636">
        <f>VLOOKUP(A31,Matrices!$B$107:$R$134,Q$18,FALSE)</f>
        <v>300</v>
      </c>
      <c r="R31" s="628">
        <f t="shared" si="1"/>
        <v>0</v>
      </c>
      <c r="S31" s="557"/>
      <c r="T31" s="633">
        <f t="shared" si="2"/>
        <v>0</v>
      </c>
      <c r="U31" s="663" t="str">
        <f t="shared" si="6"/>
        <v/>
      </c>
    </row>
    <row r="32" spans="1:21" x14ac:dyDescent="0.25">
      <c r="A32" s="658" t="s">
        <v>257</v>
      </c>
      <c r="B32" s="659" t="s">
        <v>489</v>
      </c>
      <c r="C32" s="149">
        <v>0</v>
      </c>
      <c r="D32" s="579">
        <v>1000</v>
      </c>
      <c r="E32" s="628">
        <f t="shared" si="7"/>
        <v>0</v>
      </c>
      <c r="F32" s="631">
        <f t="shared" si="4"/>
        <v>0</v>
      </c>
      <c r="G32" s="555"/>
      <c r="H32" s="574">
        <f t="shared" si="5"/>
        <v>0</v>
      </c>
      <c r="I32" s="555"/>
      <c r="J32" s="570"/>
      <c r="K32" s="555"/>
      <c r="L32" s="570"/>
      <c r="M32" s="555"/>
      <c r="N32" s="636">
        <f>VLOOKUP(A32,Matrices!$B$107:$M$137,N$18,FALSE)</f>
        <v>1200</v>
      </c>
      <c r="O32" s="628">
        <f t="shared" si="3"/>
        <v>0</v>
      </c>
      <c r="P32" s="554"/>
      <c r="Q32" s="636">
        <f>VLOOKUP(A32,Matrices!$B$107:$R$134,Q$18,FALSE)</f>
        <v>0</v>
      </c>
      <c r="R32" s="628">
        <f t="shared" si="1"/>
        <v>0</v>
      </c>
      <c r="S32" s="557"/>
      <c r="T32" s="633">
        <f t="shared" si="2"/>
        <v>0</v>
      </c>
      <c r="U32" s="663" t="str">
        <f t="shared" si="6"/>
        <v/>
      </c>
    </row>
    <row r="33" spans="1:24" x14ac:dyDescent="0.25">
      <c r="A33" s="658" t="s">
        <v>483</v>
      </c>
      <c r="B33" s="659" t="s">
        <v>489</v>
      </c>
      <c r="C33" s="149">
        <v>0</v>
      </c>
      <c r="D33" s="553">
        <v>10000</v>
      </c>
      <c r="E33" s="628">
        <f>C33*D33</f>
        <v>0</v>
      </c>
      <c r="F33" s="631">
        <f t="shared" si="4"/>
        <v>0</v>
      </c>
      <c r="G33" s="555"/>
      <c r="H33" s="574">
        <f t="shared" si="5"/>
        <v>0</v>
      </c>
      <c r="I33" s="555"/>
      <c r="J33" s="570"/>
      <c r="K33" s="555"/>
      <c r="L33" s="570"/>
      <c r="M33" s="555"/>
      <c r="N33" s="636">
        <f>VLOOKUP(A33,Matrices!$B$107:$M$137,N$18,FALSE)</f>
        <v>0</v>
      </c>
      <c r="O33" s="628">
        <f t="shared" si="3"/>
        <v>0</v>
      </c>
      <c r="P33" s="554"/>
      <c r="Q33" s="636">
        <f>VLOOKUP(A33,Matrices!$B$107:$R$134,Q$18,FALSE)</f>
        <v>900</v>
      </c>
      <c r="R33" s="628">
        <f t="shared" si="1"/>
        <v>0</v>
      </c>
      <c r="S33" s="557"/>
      <c r="T33" s="633">
        <f t="shared" si="2"/>
        <v>0</v>
      </c>
      <c r="U33" s="663" t="str">
        <f t="shared" si="6"/>
        <v/>
      </c>
    </row>
    <row r="34" spans="1:24" x14ac:dyDescent="0.25">
      <c r="A34" s="658" t="s">
        <v>258</v>
      </c>
      <c r="B34" s="659" t="s">
        <v>489</v>
      </c>
      <c r="C34" s="149">
        <v>0</v>
      </c>
      <c r="D34" s="579">
        <v>5500</v>
      </c>
      <c r="E34" s="628">
        <f t="shared" si="7"/>
        <v>0</v>
      </c>
      <c r="F34" s="631">
        <f t="shared" si="4"/>
        <v>0</v>
      </c>
      <c r="G34" s="555"/>
      <c r="H34" s="574">
        <f t="shared" si="5"/>
        <v>0</v>
      </c>
      <c r="I34" s="555"/>
      <c r="J34" s="570"/>
      <c r="K34" s="555"/>
      <c r="L34" s="570"/>
      <c r="M34" s="555"/>
      <c r="N34" s="636">
        <f>VLOOKUP(A34,Matrices!$B$107:$M$137,N$18,FALSE)</f>
        <v>4000</v>
      </c>
      <c r="O34" s="628">
        <f t="shared" si="3"/>
        <v>0</v>
      </c>
      <c r="P34" s="554"/>
      <c r="Q34" s="636">
        <f>VLOOKUP(A34,Matrices!$B$107:$R$134,Q$18,FALSE)</f>
        <v>275</v>
      </c>
      <c r="R34" s="628">
        <f t="shared" si="1"/>
        <v>0</v>
      </c>
      <c r="S34" s="557"/>
      <c r="T34" s="633">
        <f t="shared" si="2"/>
        <v>0</v>
      </c>
      <c r="U34" s="663" t="str">
        <f t="shared" si="6"/>
        <v/>
      </c>
    </row>
    <row r="35" spans="1:24" x14ac:dyDescent="0.25">
      <c r="A35" s="658" t="s">
        <v>259</v>
      </c>
      <c r="B35" s="659" t="s">
        <v>489</v>
      </c>
      <c r="C35" s="149">
        <v>0</v>
      </c>
      <c r="D35" s="579">
        <v>3000</v>
      </c>
      <c r="E35" s="628">
        <f t="shared" si="7"/>
        <v>0</v>
      </c>
      <c r="F35" s="631">
        <f t="shared" si="4"/>
        <v>0</v>
      </c>
      <c r="G35" s="555"/>
      <c r="H35" s="574">
        <f t="shared" si="5"/>
        <v>0</v>
      </c>
      <c r="I35" s="555"/>
      <c r="J35" s="570"/>
      <c r="K35" s="555"/>
      <c r="L35" s="570"/>
      <c r="M35" s="555"/>
      <c r="N35" s="636">
        <f>VLOOKUP(A35,Matrices!$B$107:$M$137,N$18,FALSE)</f>
        <v>1200</v>
      </c>
      <c r="O35" s="628">
        <f t="shared" si="3"/>
        <v>0</v>
      </c>
      <c r="P35" s="554"/>
      <c r="Q35" s="636">
        <f>VLOOKUP(A35,Matrices!$B$107:$R$134,Q$18,FALSE)</f>
        <v>168</v>
      </c>
      <c r="R35" s="628">
        <f t="shared" si="1"/>
        <v>0</v>
      </c>
      <c r="S35" s="557"/>
      <c r="T35" s="633">
        <f t="shared" si="2"/>
        <v>0</v>
      </c>
      <c r="U35" s="663" t="str">
        <f t="shared" si="6"/>
        <v/>
      </c>
    </row>
    <row r="36" spans="1:24" x14ac:dyDescent="0.25">
      <c r="A36" s="658" t="s">
        <v>271</v>
      </c>
      <c r="B36" s="659" t="s">
        <v>489</v>
      </c>
      <c r="C36" s="149">
        <v>0</v>
      </c>
      <c r="D36" s="553">
        <v>300</v>
      </c>
      <c r="E36" s="628">
        <f t="shared" si="7"/>
        <v>0</v>
      </c>
      <c r="F36" s="631">
        <f t="shared" si="4"/>
        <v>0</v>
      </c>
      <c r="G36" s="555"/>
      <c r="H36" s="574">
        <f t="shared" si="5"/>
        <v>0</v>
      </c>
      <c r="I36" s="555"/>
      <c r="J36" s="570"/>
      <c r="K36" s="555"/>
      <c r="L36" s="570"/>
      <c r="M36" s="555"/>
      <c r="N36" s="636">
        <f>VLOOKUP(A36,Matrices!$B$107:$M$137,N$18,FALSE)</f>
        <v>0</v>
      </c>
      <c r="O36" s="628">
        <f t="shared" si="3"/>
        <v>0</v>
      </c>
      <c r="P36" s="554"/>
      <c r="Q36" s="636">
        <f>VLOOKUP(A36,Matrices!$B$107:$R$134,Q$18,FALSE)</f>
        <v>150</v>
      </c>
      <c r="R36" s="628">
        <f t="shared" si="1"/>
        <v>0</v>
      </c>
      <c r="S36" s="557"/>
      <c r="T36" s="633">
        <f t="shared" si="2"/>
        <v>0</v>
      </c>
      <c r="U36" s="663" t="str">
        <f t="shared" si="6"/>
        <v/>
      </c>
    </row>
    <row r="37" spans="1:24" x14ac:dyDescent="0.25">
      <c r="A37" s="658" t="s">
        <v>273</v>
      </c>
      <c r="B37" s="659" t="s">
        <v>489</v>
      </c>
      <c r="C37" s="149">
        <v>0</v>
      </c>
      <c r="D37" s="553"/>
      <c r="E37" s="628">
        <f>C37*D37</f>
        <v>0</v>
      </c>
      <c r="F37" s="631">
        <f t="shared" si="4"/>
        <v>0</v>
      </c>
      <c r="G37" s="555"/>
      <c r="H37" s="574">
        <f t="shared" si="5"/>
        <v>0</v>
      </c>
      <c r="I37" s="555"/>
      <c r="J37" s="570"/>
      <c r="K37" s="555"/>
      <c r="L37" s="570"/>
      <c r="M37" s="555"/>
      <c r="N37" s="636">
        <f>VLOOKUP(A37,Matrices!$B$107:$M$137,N$18,FALSE)</f>
        <v>0</v>
      </c>
      <c r="O37" s="628">
        <f t="shared" si="3"/>
        <v>0</v>
      </c>
      <c r="P37" s="554"/>
      <c r="Q37" s="636">
        <f>VLOOKUP(A37,Matrices!$B$107:$R$134,Q$18,FALSE)</f>
        <v>700</v>
      </c>
      <c r="R37" s="628">
        <f t="shared" si="1"/>
        <v>0</v>
      </c>
      <c r="S37" s="557"/>
      <c r="T37" s="633">
        <f t="shared" si="2"/>
        <v>0</v>
      </c>
      <c r="U37" s="663" t="str">
        <f t="shared" si="6"/>
        <v/>
      </c>
    </row>
    <row r="38" spans="1:24" x14ac:dyDescent="0.25">
      <c r="A38" s="658" t="s">
        <v>250</v>
      </c>
      <c r="B38" s="659" t="s">
        <v>489</v>
      </c>
      <c r="C38" s="149">
        <v>0</v>
      </c>
      <c r="D38" s="579">
        <v>4000</v>
      </c>
      <c r="E38" s="628">
        <f>C38*D38</f>
        <v>0</v>
      </c>
      <c r="F38" s="631">
        <f t="shared" si="4"/>
        <v>0</v>
      </c>
      <c r="G38" s="555"/>
      <c r="H38" s="574">
        <f t="shared" si="5"/>
        <v>0</v>
      </c>
      <c r="I38" s="555"/>
      <c r="J38" s="570"/>
      <c r="K38" s="555"/>
      <c r="L38" s="570"/>
      <c r="M38" s="555"/>
      <c r="N38" s="636">
        <f>VLOOKUP(A38,Matrices!$B$107:$M$137,N$18,FALSE)</f>
        <v>3500</v>
      </c>
      <c r="O38" s="628">
        <f t="shared" si="3"/>
        <v>0</v>
      </c>
      <c r="P38" s="554"/>
      <c r="Q38" s="636">
        <f>VLOOKUP(A38,Matrices!$B$107:$R$134,Q$18,FALSE)</f>
        <v>441</v>
      </c>
      <c r="R38" s="628">
        <f t="shared" si="1"/>
        <v>0</v>
      </c>
      <c r="S38" s="557"/>
      <c r="T38" s="633">
        <f t="shared" si="2"/>
        <v>0</v>
      </c>
      <c r="U38" s="663" t="str">
        <f t="shared" si="6"/>
        <v/>
      </c>
    </row>
    <row r="39" spans="1:24" ht="15.75" thickBot="1" x14ac:dyDescent="0.3">
      <c r="A39" s="658" t="s">
        <v>251</v>
      </c>
      <c r="B39" s="659" t="s">
        <v>489</v>
      </c>
      <c r="C39" s="149">
        <v>1</v>
      </c>
      <c r="D39" s="579">
        <v>1400</v>
      </c>
      <c r="E39" s="628">
        <f>C39*D39</f>
        <v>1400</v>
      </c>
      <c r="F39" s="631">
        <f t="shared" si="4"/>
        <v>663.50710900473939</v>
      </c>
      <c r="G39" s="555"/>
      <c r="H39" s="574">
        <f t="shared" si="5"/>
        <v>464.45497630331749</v>
      </c>
      <c r="I39" s="555"/>
      <c r="J39" s="570"/>
      <c r="K39" s="555"/>
      <c r="L39" s="570"/>
      <c r="M39" s="555"/>
      <c r="N39" s="636">
        <f>VLOOKUP(A39,Matrices!$B$107:$M$137,N$18,FALSE)</f>
        <v>0</v>
      </c>
      <c r="O39" s="628">
        <f t="shared" si="3"/>
        <v>0</v>
      </c>
      <c r="P39" s="554"/>
      <c r="Q39" s="636">
        <f>VLOOKUP(A39,Matrices!$B$107:$R$134,Q$18,FALSE)</f>
        <v>342</v>
      </c>
      <c r="R39" s="628">
        <f t="shared" si="1"/>
        <v>342</v>
      </c>
      <c r="S39" s="557"/>
      <c r="T39" s="633">
        <f t="shared" si="2"/>
        <v>342</v>
      </c>
      <c r="U39" s="663">
        <f t="shared" si="6"/>
        <v>0.24428571428571427</v>
      </c>
    </row>
    <row r="40" spans="1:24" ht="15.75" thickBot="1" x14ac:dyDescent="0.3">
      <c r="A40" s="658" t="s">
        <v>635</v>
      </c>
      <c r="B40" s="659" t="s">
        <v>491</v>
      </c>
      <c r="C40" s="149">
        <v>70</v>
      </c>
      <c r="D40" s="553">
        <v>160</v>
      </c>
      <c r="E40" s="628">
        <f>C40*D40</f>
        <v>11200</v>
      </c>
      <c r="F40" s="631">
        <f t="shared" si="4"/>
        <v>5308.0568720379151</v>
      </c>
      <c r="G40" s="555"/>
      <c r="H40" s="574">
        <f t="shared" si="5"/>
        <v>3715.63981042654</v>
      </c>
      <c r="I40" s="555"/>
      <c r="J40" s="570"/>
      <c r="K40" s="555"/>
      <c r="L40" s="570"/>
      <c r="M40" s="555"/>
      <c r="N40" s="641">
        <f>VLOOKUP(A40,Matrices!$B$107:$M$137,N$18,FALSE)</f>
        <v>75</v>
      </c>
      <c r="O40" s="638">
        <f>IF(C40*N40&lt;N40*100,C40*N40,N40*100)</f>
        <v>5250</v>
      </c>
      <c r="P40" s="557"/>
      <c r="Q40" s="636">
        <f>VLOOKUP(A40,Matrices!$B$107:$R$134,Q$18,FALSE)</f>
        <v>10</v>
      </c>
      <c r="R40" s="628">
        <f t="shared" si="1"/>
        <v>700</v>
      </c>
      <c r="S40" s="557"/>
      <c r="T40" s="633">
        <f t="shared" si="2"/>
        <v>5950</v>
      </c>
      <c r="U40" s="663">
        <f t="shared" si="6"/>
        <v>0.53125</v>
      </c>
      <c r="W40" s="383"/>
    </row>
    <row r="41" spans="1:24" x14ac:dyDescent="0.25">
      <c r="A41" s="658" t="s">
        <v>261</v>
      </c>
      <c r="B41" s="659" t="s">
        <v>491</v>
      </c>
      <c r="C41" s="149">
        <v>0</v>
      </c>
      <c r="D41" s="553">
        <v>100</v>
      </c>
      <c r="E41" s="628">
        <f>C41*D41</f>
        <v>0</v>
      </c>
      <c r="F41" s="631">
        <f t="shared" si="4"/>
        <v>0</v>
      </c>
      <c r="G41" s="555"/>
      <c r="H41" s="574">
        <f t="shared" si="5"/>
        <v>0</v>
      </c>
      <c r="I41" s="555"/>
      <c r="J41" s="570"/>
      <c r="K41" s="555"/>
      <c r="L41" s="570"/>
      <c r="M41" s="555"/>
      <c r="N41" s="636">
        <f>VLOOKUP(A41,Matrices!$B$107:$M$137,N$18,FALSE)</f>
        <v>25</v>
      </c>
      <c r="O41" s="628">
        <f t="shared" ref="O41:O46" si="8">C41*N41</f>
        <v>0</v>
      </c>
      <c r="P41" s="557"/>
      <c r="Q41" s="636">
        <f>VLOOKUP(A41,Matrices!$B$107:$R$134,Q$18,FALSE)</f>
        <v>10</v>
      </c>
      <c r="R41" s="628">
        <f t="shared" si="1"/>
        <v>0</v>
      </c>
      <c r="S41" s="557"/>
      <c r="T41" s="633">
        <f t="shared" si="2"/>
        <v>0</v>
      </c>
      <c r="U41" s="663" t="str">
        <f t="shared" si="6"/>
        <v/>
      </c>
      <c r="W41" s="383"/>
      <c r="X41" s="383"/>
    </row>
    <row r="42" spans="1:24" x14ac:dyDescent="0.25">
      <c r="A42" s="658" t="s">
        <v>262</v>
      </c>
      <c r="B42" s="659" t="s">
        <v>491</v>
      </c>
      <c r="C42" s="149">
        <v>0</v>
      </c>
      <c r="D42" s="553">
        <v>90</v>
      </c>
      <c r="E42" s="628">
        <f t="shared" ref="E42:E46" si="9">C42*D42</f>
        <v>0</v>
      </c>
      <c r="F42" s="631">
        <f t="shared" si="4"/>
        <v>0</v>
      </c>
      <c r="G42" s="555"/>
      <c r="H42" s="574">
        <f t="shared" si="5"/>
        <v>0</v>
      </c>
      <c r="I42" s="555"/>
      <c r="J42" s="570"/>
      <c r="K42" s="555"/>
      <c r="L42" s="570"/>
      <c r="M42" s="555"/>
      <c r="N42" s="636">
        <f>VLOOKUP(A42,Matrices!$B$107:$M$137,N$18,FALSE)</f>
        <v>75</v>
      </c>
      <c r="O42" s="628">
        <f t="shared" si="8"/>
        <v>0</v>
      </c>
      <c r="P42" s="554"/>
      <c r="Q42" s="636">
        <f>VLOOKUP(A42,Matrices!$B$107:$R$134,Q$18,FALSE)</f>
        <v>10</v>
      </c>
      <c r="R42" s="628">
        <f t="shared" si="1"/>
        <v>0</v>
      </c>
      <c r="S42" s="557"/>
      <c r="T42" s="633">
        <f t="shared" si="2"/>
        <v>0</v>
      </c>
      <c r="U42" s="663" t="str">
        <f t="shared" si="6"/>
        <v/>
      </c>
      <c r="W42" s="383"/>
    </row>
    <row r="43" spans="1:24" x14ac:dyDescent="0.25">
      <c r="A43" s="658" t="s">
        <v>263</v>
      </c>
      <c r="B43" s="659" t="s">
        <v>491</v>
      </c>
      <c r="C43" s="149">
        <v>50</v>
      </c>
      <c r="D43" s="553">
        <v>100</v>
      </c>
      <c r="E43" s="628">
        <f t="shared" si="9"/>
        <v>5000</v>
      </c>
      <c r="F43" s="631">
        <f t="shared" si="4"/>
        <v>2369.668246445498</v>
      </c>
      <c r="G43" s="555"/>
      <c r="H43" s="574">
        <f t="shared" si="5"/>
        <v>1658.7677725118485</v>
      </c>
      <c r="I43" s="555"/>
      <c r="J43" s="570"/>
      <c r="K43" s="555"/>
      <c r="L43" s="570"/>
      <c r="M43" s="555"/>
      <c r="N43" s="636">
        <f>VLOOKUP(A43,Matrices!$B$107:$M$137,N$18,FALSE)</f>
        <v>25</v>
      </c>
      <c r="O43" s="628">
        <f t="shared" si="8"/>
        <v>1250</v>
      </c>
      <c r="P43" s="554"/>
      <c r="Q43" s="636">
        <f>VLOOKUP(A43,Matrices!$B$107:$R$134,Q$18,FALSE)</f>
        <v>10</v>
      </c>
      <c r="R43" s="628">
        <f t="shared" si="1"/>
        <v>500</v>
      </c>
      <c r="S43" s="557"/>
      <c r="T43" s="633">
        <f t="shared" si="2"/>
        <v>1750</v>
      </c>
      <c r="U43" s="663">
        <f t="shared" si="6"/>
        <v>0.35</v>
      </c>
      <c r="W43" s="383"/>
      <c r="X43" s="383"/>
    </row>
    <row r="44" spans="1:24" x14ac:dyDescent="0.25">
      <c r="A44" s="658" t="s">
        <v>264</v>
      </c>
      <c r="B44" s="659" t="s">
        <v>491</v>
      </c>
      <c r="C44" s="149">
        <v>0</v>
      </c>
      <c r="D44" s="553">
        <v>70</v>
      </c>
      <c r="E44" s="628">
        <f t="shared" si="9"/>
        <v>0</v>
      </c>
      <c r="F44" s="631">
        <f t="shared" si="4"/>
        <v>0</v>
      </c>
      <c r="G44" s="555"/>
      <c r="H44" s="574">
        <f t="shared" si="5"/>
        <v>0</v>
      </c>
      <c r="I44" s="555"/>
      <c r="J44" s="570"/>
      <c r="K44" s="555"/>
      <c r="L44" s="570"/>
      <c r="M44" s="555"/>
      <c r="N44" s="636">
        <f>VLOOKUP(A44,Matrices!$B$107:$M$137,N$18,FALSE)</f>
        <v>0</v>
      </c>
      <c r="O44" s="628">
        <f t="shared" si="8"/>
        <v>0</v>
      </c>
      <c r="P44" s="554"/>
      <c r="Q44" s="636">
        <f>VLOOKUP(A44,Matrices!$B$107:$R$134,Q$18,FALSE)</f>
        <v>10</v>
      </c>
      <c r="R44" s="628">
        <f t="shared" si="1"/>
        <v>0</v>
      </c>
      <c r="S44" s="557"/>
      <c r="T44" s="633">
        <f t="shared" si="2"/>
        <v>0</v>
      </c>
      <c r="U44" s="663" t="str">
        <f t="shared" si="6"/>
        <v/>
      </c>
      <c r="W44" s="383"/>
    </row>
    <row r="45" spans="1:24" x14ac:dyDescent="0.25">
      <c r="A45" s="658" t="s">
        <v>265</v>
      </c>
      <c r="B45" s="659" t="s">
        <v>491</v>
      </c>
      <c r="C45" s="149">
        <v>0</v>
      </c>
      <c r="D45" s="553">
        <v>100</v>
      </c>
      <c r="E45" s="628">
        <f t="shared" si="9"/>
        <v>0</v>
      </c>
      <c r="F45" s="631">
        <f t="shared" si="4"/>
        <v>0</v>
      </c>
      <c r="G45" s="555"/>
      <c r="H45" s="574">
        <f t="shared" si="5"/>
        <v>0</v>
      </c>
      <c r="I45" s="555"/>
      <c r="J45" s="570"/>
      <c r="K45" s="555"/>
      <c r="L45" s="570"/>
      <c r="M45" s="555"/>
      <c r="N45" s="636">
        <f>VLOOKUP(A45,Matrices!$B$107:$M$137,N$18,FALSE)</f>
        <v>0</v>
      </c>
      <c r="O45" s="628">
        <f t="shared" si="8"/>
        <v>0</v>
      </c>
      <c r="P45" s="557"/>
      <c r="Q45" s="636">
        <f>VLOOKUP(A45,Matrices!$B$107:$R$134,Q$18,FALSE)</f>
        <v>12</v>
      </c>
      <c r="R45" s="628">
        <f t="shared" si="1"/>
        <v>0</v>
      </c>
      <c r="S45" s="557"/>
      <c r="T45" s="633">
        <f t="shared" si="2"/>
        <v>0</v>
      </c>
      <c r="U45" s="663" t="str">
        <f t="shared" si="6"/>
        <v/>
      </c>
      <c r="W45" s="383"/>
    </row>
    <row r="46" spans="1:24" x14ac:dyDescent="0.25">
      <c r="A46" s="658" t="s">
        <v>266</v>
      </c>
      <c r="B46" s="659" t="s">
        <v>489</v>
      </c>
      <c r="C46" s="149">
        <v>0</v>
      </c>
      <c r="D46" s="553">
        <v>1500</v>
      </c>
      <c r="E46" s="628">
        <f t="shared" si="9"/>
        <v>0</v>
      </c>
      <c r="F46" s="631">
        <f t="shared" si="4"/>
        <v>0</v>
      </c>
      <c r="G46" s="555"/>
      <c r="H46" s="574">
        <f t="shared" si="5"/>
        <v>0</v>
      </c>
      <c r="I46" s="555"/>
      <c r="J46" s="570"/>
      <c r="K46" s="555"/>
      <c r="L46" s="570"/>
      <c r="M46" s="555"/>
      <c r="N46" s="636">
        <f>VLOOKUP(A46,Matrices!$B$107:$M$137,N$18,FALSE)</f>
        <v>100</v>
      </c>
      <c r="O46" s="628">
        <f t="shared" si="8"/>
        <v>0</v>
      </c>
      <c r="P46" s="557"/>
      <c r="Q46" s="636">
        <f>VLOOKUP(A46,Matrices!$B$107:$R$134,Q$18,FALSE)</f>
        <v>79</v>
      </c>
      <c r="R46" s="628">
        <f t="shared" si="1"/>
        <v>0</v>
      </c>
      <c r="S46" s="557"/>
      <c r="T46" s="633">
        <f t="shared" si="2"/>
        <v>0</v>
      </c>
      <c r="U46" s="663" t="str">
        <f t="shared" si="6"/>
        <v/>
      </c>
      <c r="W46" s="383"/>
      <c r="X46" s="383"/>
    </row>
    <row r="47" spans="1:24" ht="15.75" thickBot="1" x14ac:dyDescent="0.3">
      <c r="A47" s="660" t="s">
        <v>517</v>
      </c>
      <c r="B47" s="661" t="s">
        <v>489</v>
      </c>
      <c r="C47" s="524">
        <v>0</v>
      </c>
      <c r="D47" s="581">
        <v>400</v>
      </c>
      <c r="E47" s="629">
        <f t="shared" ref="E47" si="10">D47*C47</f>
        <v>0</v>
      </c>
      <c r="F47" s="457"/>
      <c r="G47" s="555"/>
      <c r="H47" s="574">
        <f t="shared" si="5"/>
        <v>0</v>
      </c>
      <c r="I47" s="555"/>
      <c r="J47" s="570"/>
      <c r="K47" s="555"/>
      <c r="L47" s="570"/>
      <c r="M47" s="555"/>
      <c r="N47" s="636">
        <v>0</v>
      </c>
      <c r="O47" s="628">
        <f t="shared" ref="O47" si="11">C47*N47</f>
        <v>0</v>
      </c>
      <c r="P47" s="554"/>
      <c r="Q47" s="636">
        <v>0</v>
      </c>
      <c r="R47" s="628">
        <f t="shared" ref="R47" si="12">C47*Q47</f>
        <v>0</v>
      </c>
      <c r="S47" s="557"/>
      <c r="T47" s="633">
        <f t="shared" ref="T47" si="13">IF((O47+R47)&lt;$B$5*E47,O47+R47,$B$5*E47)</f>
        <v>0</v>
      </c>
      <c r="U47" s="642"/>
      <c r="W47" s="383"/>
      <c r="X47" s="383"/>
    </row>
    <row r="48" spans="1:24" ht="15.75" thickBot="1" x14ac:dyDescent="0.3">
      <c r="A48" s="660" t="s">
        <v>267</v>
      </c>
      <c r="B48" s="661" t="s">
        <v>489</v>
      </c>
      <c r="C48" s="524">
        <v>0</v>
      </c>
      <c r="D48" s="581">
        <v>1200</v>
      </c>
      <c r="E48" s="629">
        <f>C48*D48</f>
        <v>0</v>
      </c>
      <c r="F48" s="632"/>
      <c r="G48" s="555"/>
      <c r="H48" s="574"/>
      <c r="I48" s="555"/>
      <c r="J48" s="571"/>
      <c r="K48" s="555"/>
      <c r="L48" s="571"/>
      <c r="M48" s="555"/>
      <c r="N48" s="637">
        <f>VLOOKUP(A48,Matrices!$B$107:$M$137,N$18,FALSE)</f>
        <v>500</v>
      </c>
      <c r="O48" s="639">
        <f t="shared" ref="O48" si="14">C48*N48</f>
        <v>0</v>
      </c>
      <c r="P48" s="554"/>
      <c r="Q48" s="637">
        <f>VLOOKUP(A48,Matrices!$B$107:$R$134,Q$18,FALSE)</f>
        <v>0</v>
      </c>
      <c r="R48" s="639">
        <f>C48*Q48</f>
        <v>0</v>
      </c>
      <c r="S48" s="557"/>
      <c r="T48" s="633">
        <f>IF((O48+R48)&lt;$B$5*E48,O48+R48,$B$5*E48)</f>
        <v>0</v>
      </c>
      <c r="U48" s="643"/>
      <c r="W48" s="383"/>
      <c r="X48" s="383"/>
    </row>
    <row r="49" spans="1:50" hidden="1" outlineLevel="1" x14ac:dyDescent="0.25">
      <c r="A49" s="656" t="s">
        <v>274</v>
      </c>
      <c r="B49" s="657"/>
      <c r="C49" s="558">
        <v>0</v>
      </c>
      <c r="D49" s="665"/>
      <c r="E49" s="627"/>
      <c r="F49" s="633">
        <f>IF(SUM(F20:F46)&lt;15000,SUM(F20:F46),15000)</f>
        <v>14028.436018957345</v>
      </c>
      <c r="G49" s="555"/>
      <c r="H49" s="633">
        <f>IF(SUM(H20:H46)&lt;10500,SUM(H20:H46),10500)</f>
        <v>9819.9052132701418</v>
      </c>
      <c r="I49" s="555"/>
      <c r="J49" s="635">
        <f>IF(B9&lt;0.55,0,VLOOKUP($A49,Matrices!$B$107:$M$137,N$18,FALSE))</f>
        <v>0</v>
      </c>
      <c r="K49" s="555"/>
      <c r="L49" s="635">
        <f>B14*B15*B16</f>
        <v>945</v>
      </c>
      <c r="M49" s="555"/>
      <c r="N49" s="454"/>
      <c r="O49" s="455"/>
      <c r="P49" s="557"/>
      <c r="Q49" s="454"/>
      <c r="R49" s="455"/>
      <c r="S49" s="557"/>
      <c r="T49" s="644"/>
      <c r="U49" s="465"/>
      <c r="W49" s="383"/>
      <c r="X49" s="383"/>
    </row>
    <row r="50" spans="1:50" ht="15.75" hidden="1" outlineLevel="1" thickBot="1" x14ac:dyDescent="0.3">
      <c r="A50" s="658" t="s">
        <v>275</v>
      </c>
      <c r="B50" s="659"/>
      <c r="C50" s="149">
        <f>IF(B10&gt;330,IF(B11&lt;330,1,0),0)</f>
        <v>0</v>
      </c>
      <c r="D50" s="553"/>
      <c r="E50" s="628"/>
      <c r="F50" s="633">
        <f>IF(B9&lt;0.35,0,IF($B10&gt;330,VLOOKUP($A50,Matrices!$B$107:$M$137,N$18,FALSE),0))</f>
        <v>0</v>
      </c>
      <c r="G50" s="555"/>
      <c r="H50" s="633">
        <f>F50</f>
        <v>0</v>
      </c>
      <c r="I50" s="555"/>
      <c r="J50" s="633">
        <f>IF(B9&lt;0.55,0,IF($B10&gt;330,VLOOKUP($A50,Matrices!$B$107:$M$137,N$18,FALSE),0))</f>
        <v>0</v>
      </c>
      <c r="K50" s="555"/>
      <c r="L50" s="572"/>
      <c r="M50" s="555"/>
      <c r="N50" s="456"/>
      <c r="O50" s="457"/>
      <c r="P50" s="557"/>
      <c r="Q50" s="456"/>
      <c r="R50" s="457"/>
      <c r="S50" s="557"/>
      <c r="T50" s="645"/>
      <c r="U50" s="466"/>
      <c r="W50" s="383"/>
      <c r="X50" s="383"/>
    </row>
    <row r="51" spans="1:50" ht="15.75" hidden="1" outlineLevel="1" thickBot="1" x14ac:dyDescent="0.3">
      <c r="A51" s="660" t="s">
        <v>276</v>
      </c>
      <c r="B51" s="661"/>
      <c r="C51" s="524">
        <f>IF(B11&gt;110,0,1)</f>
        <v>0</v>
      </c>
      <c r="D51" s="581"/>
      <c r="E51" s="629"/>
      <c r="F51" s="634">
        <f>J51</f>
        <v>0</v>
      </c>
      <c r="G51" s="555"/>
      <c r="H51" s="634">
        <f>J51</f>
        <v>0</v>
      </c>
      <c r="I51" s="555"/>
      <c r="J51" s="634">
        <f>IF(B9&lt;0.55,0,IF($B11&gt;90,0,VLOOKUP($A51,Matrices!$B$107:$M$137,N$18,FALSE)))</f>
        <v>0</v>
      </c>
      <c r="K51" s="555"/>
      <c r="L51" s="572"/>
      <c r="M51" s="555"/>
      <c r="N51" s="458"/>
      <c r="O51" s="459"/>
      <c r="P51" s="557"/>
      <c r="Q51" s="458"/>
      <c r="R51" s="459"/>
      <c r="S51" s="557"/>
      <c r="T51" s="646"/>
      <c r="U51" s="467"/>
      <c r="W51" s="383"/>
      <c r="X51" s="383"/>
    </row>
    <row r="52" spans="1:50" ht="15.75" collapsed="1" thickBot="1" x14ac:dyDescent="0.3">
      <c r="A52" s="2"/>
      <c r="B52" s="149"/>
      <c r="C52" s="149"/>
      <c r="D52" s="556"/>
      <c r="E52" s="557"/>
      <c r="F52" s="557"/>
      <c r="G52" s="561"/>
      <c r="H52" s="557"/>
      <c r="I52" s="561"/>
      <c r="J52" s="557"/>
      <c r="K52" s="561"/>
      <c r="M52" s="561"/>
      <c r="N52" s="557"/>
      <c r="O52" s="557"/>
      <c r="P52" s="557"/>
      <c r="Q52" s="557"/>
      <c r="R52" s="557"/>
      <c r="S52" s="557"/>
      <c r="T52" s="560"/>
      <c r="U52" s="564"/>
      <c r="W52" s="383"/>
      <c r="X52" s="383"/>
      <c r="AB52" s="2"/>
      <c r="AC52" s="2"/>
      <c r="AD52" s="2"/>
      <c r="AE52" s="2"/>
      <c r="AF52" s="2"/>
      <c r="AG52" s="2"/>
      <c r="AH52" s="2"/>
      <c r="AI52" s="2"/>
      <c r="AJ52" s="2"/>
      <c r="AK52" s="2"/>
      <c r="AL52" s="2"/>
      <c r="AM52" s="2"/>
      <c r="AN52" s="2"/>
      <c r="AO52" s="2"/>
      <c r="AP52" s="2"/>
      <c r="AQ52" s="2"/>
      <c r="AR52" s="2"/>
      <c r="AS52" s="2"/>
      <c r="AT52" s="2"/>
      <c r="AU52" s="2"/>
      <c r="AV52" s="2"/>
      <c r="AW52" s="2"/>
      <c r="AX52" s="2"/>
    </row>
    <row r="53" spans="1:50" ht="15.75" hidden="1" outlineLevel="1" thickBot="1" x14ac:dyDescent="0.3">
      <c r="A53" s="2"/>
      <c r="B53" s="668" t="s">
        <v>584</v>
      </c>
      <c r="C53" s="669"/>
      <c r="D53" s="670"/>
      <c r="E53" s="647">
        <f>E48</f>
        <v>0</v>
      </c>
      <c r="F53" s="648"/>
      <c r="G53" s="649"/>
      <c r="H53" s="648"/>
      <c r="I53" s="649"/>
      <c r="J53" s="650"/>
      <c r="K53" s="649"/>
      <c r="L53" s="650"/>
      <c r="M53" s="649"/>
      <c r="N53" s="649"/>
      <c r="O53" s="650">
        <f>O48</f>
        <v>0</v>
      </c>
      <c r="P53" s="650"/>
      <c r="Q53" s="649"/>
      <c r="R53" s="650">
        <f>R48</f>
        <v>0</v>
      </c>
      <c r="S53" s="618"/>
      <c r="T53" s="559"/>
      <c r="U53" s="566"/>
      <c r="W53" s="383"/>
      <c r="X53" s="383"/>
      <c r="AB53" s="2"/>
      <c r="AC53" s="2"/>
      <c r="AD53" s="2"/>
      <c r="AE53" s="2"/>
      <c r="AF53" s="2"/>
      <c r="AG53" s="2"/>
      <c r="AH53" s="2"/>
      <c r="AI53" s="2"/>
      <c r="AJ53" s="2"/>
      <c r="AK53" s="2"/>
      <c r="AL53" s="2"/>
      <c r="AM53" s="2"/>
      <c r="AN53" s="2"/>
      <c r="AO53" s="2"/>
      <c r="AP53" s="2"/>
      <c r="AQ53" s="2"/>
      <c r="AR53" s="2"/>
      <c r="AS53" s="2"/>
      <c r="AT53" s="2"/>
      <c r="AU53" s="2"/>
      <c r="AV53" s="2"/>
      <c r="AW53" s="2"/>
      <c r="AX53" s="2"/>
    </row>
    <row r="54" spans="1:50" ht="15.75" collapsed="1" thickBot="1" x14ac:dyDescent="0.3">
      <c r="A54" s="2"/>
      <c r="B54" s="668" t="s">
        <v>585</v>
      </c>
      <c r="C54" s="669"/>
      <c r="D54" s="670"/>
      <c r="E54" s="568">
        <f>SUM(E21:E47)</f>
        <v>29600</v>
      </c>
      <c r="F54" s="563">
        <f>SUM(F49:F51)</f>
        <v>14028.436018957345</v>
      </c>
      <c r="G54" s="562"/>
      <c r="H54" s="563">
        <f>SUM(H49:H51)</f>
        <v>9819.9052132701418</v>
      </c>
      <c r="I54" s="563"/>
      <c r="J54" s="563">
        <f>SUM(J49:J51)</f>
        <v>0</v>
      </c>
      <c r="K54" s="562"/>
      <c r="L54" s="565">
        <f>SUM(L49:L50)</f>
        <v>945</v>
      </c>
      <c r="M54" s="562"/>
      <c r="N54" s="562"/>
      <c r="O54" s="565">
        <f>SUM(O21:O46)</f>
        <v>17500</v>
      </c>
      <c r="P54" s="565"/>
      <c r="Q54" s="562"/>
      <c r="R54" s="565">
        <f>SUM(R21:R46)</f>
        <v>5542</v>
      </c>
      <c r="S54" s="565"/>
      <c r="T54" s="567">
        <f>O54+R54</f>
        <v>23042</v>
      </c>
      <c r="U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x14ac:dyDescent="0.25">
      <c r="A55" s="2"/>
      <c r="B55" s="478"/>
      <c r="C55" s="2"/>
      <c r="D55" s="2"/>
      <c r="E55" s="2"/>
      <c r="F55" s="2"/>
      <c r="G55" s="383"/>
      <c r="H55" s="2"/>
      <c r="I55" s="383"/>
      <c r="J55" s="383"/>
      <c r="K55" s="383"/>
      <c r="L55" s="383"/>
      <c r="M55" s="383"/>
      <c r="N55" s="383"/>
      <c r="O55" s="383"/>
      <c r="P55" s="383"/>
      <c r="Q55" s="383"/>
      <c r="R55" s="383"/>
      <c r="S55" s="383"/>
      <c r="T55" s="2"/>
      <c r="U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x14ac:dyDescent="0.25">
      <c r="A56" s="2"/>
      <c r="B56" s="2"/>
      <c r="C56" s="2"/>
      <c r="D56" s="2"/>
      <c r="E56" s="2"/>
      <c r="F56" s="2"/>
      <c r="G56" s="2"/>
      <c r="H56" s="2"/>
      <c r="I56" s="2"/>
      <c r="J56" s="2"/>
      <c r="K56" s="2"/>
      <c r="L56" s="2"/>
      <c r="N56" s="2"/>
      <c r="O56" s="2"/>
      <c r="T56" s="2"/>
      <c r="U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x14ac:dyDescent="0.25">
      <c r="A57" s="2"/>
      <c r="B57" s="2"/>
      <c r="C57" s="2"/>
      <c r="D57" s="2"/>
      <c r="E57" s="2"/>
      <c r="F57" s="2"/>
      <c r="G57" s="2"/>
      <c r="H57" s="2"/>
      <c r="I57" s="2"/>
      <c r="J57" s="2"/>
      <c r="K57" s="2"/>
      <c r="L57" s="2"/>
      <c r="N57" s="2"/>
      <c r="O57" s="2"/>
      <c r="T57" s="2"/>
      <c r="U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x14ac:dyDescent="0.25">
      <c r="A58" s="2"/>
      <c r="B58" s="2"/>
      <c r="C58" s="2"/>
      <c r="D58" s="2"/>
      <c r="E58" s="2"/>
      <c r="F58" s="2"/>
      <c r="G58" s="2"/>
      <c r="H58" s="2"/>
      <c r="I58" s="2"/>
      <c r="J58" s="2"/>
      <c r="K58" s="2"/>
      <c r="L58" s="2"/>
      <c r="N58" s="2"/>
      <c r="O58" s="2"/>
      <c r="T58" s="2"/>
      <c r="U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x14ac:dyDescent="0.25">
      <c r="A59" s="2"/>
      <c r="B59" s="2"/>
      <c r="C59" s="2"/>
      <c r="D59" s="2"/>
      <c r="E59" s="2"/>
      <c r="F59" s="2"/>
      <c r="G59" s="2"/>
      <c r="H59" s="2"/>
      <c r="I59" s="2"/>
      <c r="J59" s="2"/>
      <c r="K59" s="2"/>
      <c r="L59" s="2"/>
      <c r="N59" s="2"/>
      <c r="O59" s="2"/>
      <c r="T59" s="2"/>
      <c r="U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x14ac:dyDescent="0.25">
      <c r="A60" s="2"/>
      <c r="B60" s="2"/>
      <c r="C60" s="2"/>
      <c r="D60" s="2"/>
      <c r="E60" s="2"/>
      <c r="F60" s="2"/>
      <c r="G60" s="2"/>
      <c r="H60" s="2"/>
      <c r="I60" s="2"/>
      <c r="J60" s="2"/>
      <c r="K60" s="2"/>
      <c r="L60" s="2"/>
      <c r="N60" s="2"/>
      <c r="O60" s="2"/>
      <c r="T60" s="2"/>
      <c r="U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x14ac:dyDescent="0.25">
      <c r="A61" s="2"/>
      <c r="B61" s="2"/>
      <c r="C61" s="2"/>
      <c r="D61" s="2"/>
      <c r="E61" s="2"/>
      <c r="F61" s="2"/>
      <c r="G61" s="2"/>
      <c r="H61" s="2"/>
      <c r="I61" s="2"/>
      <c r="J61" s="2"/>
      <c r="K61" s="2"/>
      <c r="L61" s="2"/>
      <c r="N61" s="2"/>
      <c r="O61" s="2"/>
      <c r="T61" s="2"/>
      <c r="U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x14ac:dyDescent="0.25">
      <c r="A62" s="2"/>
      <c r="B62" s="2"/>
      <c r="C62" s="2"/>
      <c r="D62" s="2"/>
      <c r="E62" s="2"/>
      <c r="F62" s="2"/>
      <c r="G62" s="2"/>
      <c r="H62" s="2"/>
      <c r="I62" s="2"/>
      <c r="J62" s="2"/>
      <c r="K62" s="2"/>
      <c r="L62" s="2"/>
      <c r="N62" s="2"/>
      <c r="O62" s="2"/>
      <c r="T62" s="2"/>
      <c r="U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x14ac:dyDescent="0.25">
      <c r="A63" s="2"/>
      <c r="B63" s="2"/>
      <c r="C63" s="2"/>
      <c r="D63" s="2"/>
      <c r="E63" s="2"/>
      <c r="F63" s="2"/>
      <c r="G63" s="2"/>
      <c r="H63" s="2"/>
      <c r="I63" s="2"/>
      <c r="J63" s="2"/>
      <c r="K63" s="2"/>
      <c r="L63" s="2"/>
      <c r="N63" s="2"/>
      <c r="O63" s="2"/>
      <c r="T63" s="2"/>
      <c r="U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x14ac:dyDescent="0.25">
      <c r="A64" s="2"/>
      <c r="B64" s="2"/>
      <c r="C64" s="2"/>
      <c r="D64" s="2"/>
      <c r="E64" s="2"/>
      <c r="F64" s="2"/>
      <c r="G64" s="2"/>
      <c r="H64" s="2"/>
      <c r="I64" s="2"/>
      <c r="J64" s="2"/>
      <c r="K64" s="2"/>
      <c r="L64" s="2"/>
      <c r="N64" s="2"/>
      <c r="O64" s="2"/>
      <c r="T64" s="2"/>
      <c r="U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x14ac:dyDescent="0.25">
      <c r="A65" s="2"/>
      <c r="B65" s="2"/>
      <c r="C65" s="2"/>
      <c r="D65" s="2"/>
      <c r="E65" s="2"/>
      <c r="F65" s="2"/>
      <c r="G65" s="2"/>
      <c r="H65" s="2"/>
      <c r="I65" s="2"/>
      <c r="J65" s="2"/>
      <c r="K65" s="2"/>
      <c r="L65" s="2"/>
      <c r="N65" s="2"/>
      <c r="O65" s="2"/>
      <c r="T65" s="2"/>
      <c r="U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x14ac:dyDescent="0.25">
      <c r="A66" s="2"/>
      <c r="B66" s="2"/>
      <c r="C66" s="2"/>
      <c r="D66" s="2"/>
      <c r="E66" s="2"/>
      <c r="F66" s="2"/>
      <c r="G66" s="2"/>
      <c r="H66" s="2"/>
      <c r="I66" s="2"/>
      <c r="J66" s="2"/>
      <c r="K66" s="2"/>
      <c r="L66" s="2"/>
      <c r="N66" s="2"/>
      <c r="O66" s="2"/>
      <c r="T66" s="2"/>
      <c r="U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x14ac:dyDescent="0.25">
      <c r="A67" s="2"/>
      <c r="B67" s="2"/>
      <c r="C67" s="2"/>
      <c r="D67" s="2"/>
      <c r="E67" s="2"/>
      <c r="F67" s="2"/>
      <c r="G67" s="2"/>
      <c r="H67" s="2"/>
      <c r="I67" s="2"/>
      <c r="J67" s="2"/>
      <c r="K67" s="2"/>
      <c r="L67" s="2"/>
      <c r="N67" s="2"/>
      <c r="O67" s="2"/>
      <c r="T67" s="2"/>
      <c r="U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x14ac:dyDescent="0.25">
      <c r="A68" s="2"/>
      <c r="B68" s="2"/>
      <c r="C68" s="2"/>
      <c r="D68" s="2"/>
      <c r="E68" s="2"/>
      <c r="F68" s="2"/>
      <c r="G68" s="2"/>
      <c r="H68" s="2"/>
      <c r="I68" s="2"/>
      <c r="J68" s="2"/>
      <c r="K68" s="2"/>
      <c r="L68" s="2"/>
      <c r="N68" s="2"/>
      <c r="O68" s="2"/>
      <c r="T68" s="2"/>
      <c r="U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x14ac:dyDescent="0.25">
      <c r="A69" s="2"/>
      <c r="B69" s="2"/>
      <c r="C69" s="2"/>
      <c r="D69" s="2"/>
      <c r="E69" s="2"/>
      <c r="F69" s="2"/>
      <c r="G69" s="2"/>
      <c r="H69" s="2"/>
      <c r="I69" s="2"/>
      <c r="J69" s="2"/>
      <c r="K69" s="2"/>
      <c r="L69" s="2"/>
      <c r="N69" s="2"/>
      <c r="O69" s="2"/>
      <c r="T69" s="2"/>
      <c r="U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x14ac:dyDescent="0.25">
      <c r="A70" s="2"/>
      <c r="B70" s="2"/>
      <c r="C70" s="2"/>
      <c r="D70" s="2"/>
      <c r="E70" s="2"/>
      <c r="F70" s="2"/>
      <c r="G70" s="2"/>
    </row>
    <row r="71" spans="1:50" x14ac:dyDescent="0.25">
      <c r="A71" s="2"/>
      <c r="B71" s="2"/>
      <c r="C71" s="2"/>
      <c r="D71" s="2"/>
      <c r="E71" s="2"/>
      <c r="F71" s="2"/>
      <c r="G71" s="2"/>
    </row>
    <row r="72" spans="1:50" x14ac:dyDescent="0.25">
      <c r="A72" s="2"/>
      <c r="B72" s="2"/>
      <c r="C72" s="2"/>
      <c r="D72" s="2"/>
      <c r="E72" s="2"/>
      <c r="F72" s="2"/>
      <c r="G72" s="2"/>
    </row>
    <row r="73" spans="1:50" x14ac:dyDescent="0.25">
      <c r="A73" s="2"/>
      <c r="B73" s="2"/>
      <c r="C73" s="2"/>
      <c r="D73" s="2"/>
      <c r="E73" s="2"/>
      <c r="F73" s="2"/>
      <c r="G73" s="2"/>
    </row>
    <row r="74" spans="1:50" x14ac:dyDescent="0.25">
      <c r="A74" s="2"/>
      <c r="B74" s="2"/>
      <c r="C74" s="2"/>
      <c r="D74" s="2"/>
      <c r="E74" s="2"/>
      <c r="F74" s="2"/>
      <c r="G74" s="2"/>
    </row>
    <row r="75" spans="1:50" x14ac:dyDescent="0.25">
      <c r="A75" s="2"/>
      <c r="B75" s="2"/>
      <c r="C75" s="2"/>
      <c r="D75" s="2"/>
      <c r="E75" s="2"/>
      <c r="F75" s="2"/>
      <c r="G75" s="2"/>
    </row>
    <row r="76" spans="1:50" x14ac:dyDescent="0.25">
      <c r="A76" s="2"/>
      <c r="B76" s="2"/>
      <c r="C76" s="2"/>
      <c r="D76" s="2"/>
      <c r="E76" s="2"/>
      <c r="F76" s="2"/>
      <c r="G76" s="2"/>
    </row>
    <row r="77" spans="1:50" x14ac:dyDescent="0.25">
      <c r="A77" s="2"/>
      <c r="B77" s="2"/>
      <c r="C77" s="2"/>
      <c r="D77" s="2"/>
      <c r="E77" s="2"/>
      <c r="F77" s="2"/>
      <c r="G77" s="2"/>
    </row>
    <row r="78" spans="1:50" x14ac:dyDescent="0.25">
      <c r="A78" s="2"/>
      <c r="B78" s="2"/>
      <c r="C78" s="2"/>
      <c r="D78" s="2"/>
      <c r="E78" s="2"/>
      <c r="F78" s="2"/>
      <c r="G78" s="2"/>
    </row>
    <row r="79" spans="1:50" x14ac:dyDescent="0.25">
      <c r="A79" s="2"/>
      <c r="B79" s="2"/>
      <c r="C79" s="2"/>
      <c r="D79" s="2"/>
      <c r="E79" s="2"/>
      <c r="F79" s="2"/>
      <c r="G79" s="2"/>
    </row>
    <row r="80" spans="1:50" x14ac:dyDescent="0.25">
      <c r="A80" s="2"/>
      <c r="B80" s="2"/>
      <c r="C80" s="2"/>
      <c r="D80" s="2"/>
      <c r="E80" s="2"/>
      <c r="F80" s="2"/>
      <c r="G80" s="2"/>
    </row>
    <row r="81" spans="1:7" x14ac:dyDescent="0.25">
      <c r="A81" s="2"/>
      <c r="B81" s="2"/>
      <c r="C81" s="2"/>
      <c r="D81" s="2"/>
      <c r="E81" s="2"/>
      <c r="F81" s="2"/>
      <c r="G81" s="2"/>
    </row>
    <row r="82" spans="1:7" x14ac:dyDescent="0.25">
      <c r="A82" s="2"/>
      <c r="B82" s="2"/>
      <c r="C82" s="2"/>
      <c r="D82" s="2"/>
      <c r="E82" s="2"/>
      <c r="F82" s="2"/>
      <c r="G82" s="2"/>
    </row>
    <row r="83" spans="1:7" x14ac:dyDescent="0.25">
      <c r="A83" s="2"/>
      <c r="B83" s="2"/>
      <c r="C83" s="2"/>
      <c r="D83" s="2"/>
      <c r="E83" s="2"/>
      <c r="F83" s="2"/>
      <c r="G83" s="2"/>
    </row>
    <row r="84" spans="1:7" x14ac:dyDescent="0.25">
      <c r="A84" s="2"/>
      <c r="B84" s="2"/>
      <c r="C84" s="2"/>
      <c r="D84" s="2"/>
      <c r="E84" s="2"/>
      <c r="F84" s="2"/>
      <c r="G84" s="2"/>
    </row>
    <row r="85" spans="1:7" x14ac:dyDescent="0.25">
      <c r="A85" s="2"/>
      <c r="B85" s="2"/>
      <c r="C85" s="2"/>
      <c r="D85" s="2"/>
      <c r="E85" s="2"/>
      <c r="F85" s="2"/>
      <c r="G85" s="2"/>
    </row>
    <row r="86" spans="1:7" x14ac:dyDescent="0.25">
      <c r="A86" s="2"/>
      <c r="B86" s="2"/>
      <c r="C86" s="2"/>
      <c r="D86" s="2"/>
      <c r="E86" s="2"/>
      <c r="F86" s="2"/>
      <c r="G86" s="2"/>
    </row>
    <row r="87" spans="1:7" x14ac:dyDescent="0.25">
      <c r="A87" s="2"/>
      <c r="B87" s="2"/>
      <c r="C87" s="2"/>
      <c r="D87" s="2"/>
      <c r="E87" s="2"/>
      <c r="F87" s="2"/>
      <c r="G87" s="2"/>
    </row>
    <row r="88" spans="1:7" x14ac:dyDescent="0.25">
      <c r="A88" s="2"/>
      <c r="B88" s="2"/>
      <c r="C88" s="2"/>
      <c r="D88" s="2"/>
      <c r="E88" s="2"/>
      <c r="F88" s="2"/>
      <c r="G88" s="2"/>
    </row>
    <row r="89" spans="1:7" x14ac:dyDescent="0.25">
      <c r="A89" s="2"/>
      <c r="B89" s="2"/>
      <c r="C89" s="2"/>
      <c r="D89" s="2"/>
      <c r="E89" s="2"/>
      <c r="F89" s="2"/>
      <c r="G89" s="2"/>
    </row>
    <row r="90" spans="1:7" x14ac:dyDescent="0.25">
      <c r="A90" s="2"/>
      <c r="B90" s="2"/>
      <c r="C90" s="2"/>
      <c r="D90" s="2"/>
      <c r="E90" s="2"/>
      <c r="F90" s="2"/>
      <c r="G90" s="2"/>
    </row>
    <row r="91" spans="1:7" x14ac:dyDescent="0.25">
      <c r="A91" s="2"/>
      <c r="B91" s="2"/>
      <c r="C91" s="2"/>
      <c r="D91" s="2"/>
      <c r="E91" s="2"/>
      <c r="F91" s="2"/>
      <c r="G91" s="2"/>
    </row>
    <row r="92" spans="1:7" x14ac:dyDescent="0.25">
      <c r="A92" s="2"/>
      <c r="B92" s="2"/>
      <c r="C92" s="2"/>
      <c r="D92" s="2"/>
      <c r="E92" s="2"/>
      <c r="F92" s="2"/>
      <c r="G92" s="2"/>
    </row>
    <row r="93" spans="1:7" x14ac:dyDescent="0.25">
      <c r="A93" s="2"/>
      <c r="B93" s="2"/>
      <c r="C93" s="2"/>
      <c r="D93" s="2"/>
      <c r="E93" s="2"/>
      <c r="F93" s="2"/>
      <c r="G93" s="2"/>
    </row>
    <row r="94" spans="1:7" x14ac:dyDescent="0.25">
      <c r="A94" s="2"/>
      <c r="B94" s="2"/>
      <c r="C94" s="2"/>
      <c r="D94" s="2"/>
      <c r="E94" s="2"/>
      <c r="F94" s="2"/>
      <c r="G94" s="2"/>
    </row>
    <row r="95" spans="1:7" x14ac:dyDescent="0.25">
      <c r="A95" s="2"/>
      <c r="B95" s="2"/>
      <c r="C95" s="2"/>
      <c r="D95" s="2"/>
      <c r="E95" s="2"/>
      <c r="F95" s="2"/>
      <c r="G95" s="2"/>
    </row>
    <row r="96" spans="1:7" x14ac:dyDescent="0.25">
      <c r="A96" s="2"/>
      <c r="B96" s="2"/>
      <c r="C96" s="2"/>
      <c r="D96" s="2"/>
      <c r="E96" s="2"/>
      <c r="F96" s="2"/>
      <c r="G96" s="2"/>
    </row>
    <row r="97" spans="1:7" x14ac:dyDescent="0.25">
      <c r="A97" s="2"/>
      <c r="B97" s="2"/>
      <c r="C97" s="2"/>
      <c r="D97" s="2"/>
      <c r="E97" s="2"/>
      <c r="F97" s="2"/>
      <c r="G97" s="2"/>
    </row>
    <row r="98" spans="1:7" x14ac:dyDescent="0.25">
      <c r="A98" s="2"/>
      <c r="B98" s="2"/>
      <c r="C98" s="2"/>
      <c r="D98" s="2"/>
      <c r="E98" s="2"/>
      <c r="F98" s="2"/>
      <c r="G98" s="2"/>
    </row>
    <row r="99" spans="1:7" x14ac:dyDescent="0.25">
      <c r="A99" s="2"/>
      <c r="B99" s="2"/>
      <c r="C99" s="2"/>
      <c r="D99" s="2"/>
      <c r="E99" s="2"/>
      <c r="F99" s="2"/>
      <c r="G99" s="2"/>
    </row>
    <row r="100" spans="1:7" x14ac:dyDescent="0.25">
      <c r="A100" s="2"/>
      <c r="B100" s="2"/>
      <c r="C100" s="2"/>
      <c r="D100" s="2"/>
      <c r="E100" s="2"/>
      <c r="F100" s="2"/>
      <c r="G100" s="2"/>
    </row>
    <row r="101" spans="1:7" x14ac:dyDescent="0.25">
      <c r="A101" s="2"/>
      <c r="B101" s="2"/>
      <c r="C101" s="2"/>
      <c r="D101" s="2"/>
      <c r="E101" s="2"/>
      <c r="F101" s="2"/>
      <c r="G101" s="2"/>
    </row>
    <row r="102" spans="1:7" x14ac:dyDescent="0.25">
      <c r="A102" s="2"/>
      <c r="B102" s="2"/>
      <c r="C102" s="2"/>
      <c r="D102" s="2"/>
      <c r="E102" s="2"/>
      <c r="F102" s="2"/>
      <c r="G102" s="2"/>
    </row>
    <row r="103" spans="1:7" x14ac:dyDescent="0.25">
      <c r="A103" s="2"/>
      <c r="B103" s="2"/>
      <c r="C103" s="2"/>
      <c r="D103" s="2"/>
      <c r="E103" s="2"/>
      <c r="F103" s="2"/>
      <c r="G103" s="2"/>
    </row>
    <row r="104" spans="1:7" x14ac:dyDescent="0.25">
      <c r="A104" s="2"/>
      <c r="B104" s="2"/>
      <c r="C104" s="2"/>
      <c r="D104" s="2"/>
      <c r="E104" s="2"/>
      <c r="F104" s="2"/>
      <c r="G104" s="2"/>
    </row>
    <row r="105" spans="1:7" x14ac:dyDescent="0.25">
      <c r="A105" s="2"/>
      <c r="B105" s="2"/>
      <c r="C105" s="2"/>
      <c r="D105" s="2"/>
      <c r="E105" s="2"/>
      <c r="F105" s="2"/>
      <c r="G105" s="2"/>
    </row>
    <row r="106" spans="1:7" x14ac:dyDescent="0.25">
      <c r="A106" s="2"/>
      <c r="B106" s="2"/>
      <c r="C106" s="2"/>
      <c r="D106" s="2"/>
      <c r="E106" s="2"/>
      <c r="F106" s="2"/>
      <c r="G106" s="2"/>
    </row>
    <row r="107" spans="1:7" x14ac:dyDescent="0.25">
      <c r="A107" s="2"/>
      <c r="B107" s="2"/>
      <c r="C107" s="2"/>
      <c r="D107" s="2"/>
      <c r="E107" s="2"/>
      <c r="F107" s="2"/>
      <c r="G107" s="2"/>
    </row>
  </sheetData>
  <autoFilter ref="A20:U54" xr:uid="{E6FBA7E3-DE63-46A3-9D22-88A90A9774C8}"/>
  <mergeCells count="4">
    <mergeCell ref="N19:O19"/>
    <mergeCell ref="Q19:R19"/>
    <mergeCell ref="B54:D54"/>
    <mergeCell ref="B53:D53"/>
  </mergeCells>
  <conditionalFormatting sqref="B3">
    <cfRule type="containsText" dxfId="24" priority="31" operator="containsText" text="Très modestes">
      <formula>NOT(ISERROR(SEARCH("Très modestes",B3)))</formula>
    </cfRule>
    <cfRule type="notContainsText" dxfId="23" priority="32" operator="notContains" text="Très modestes">
      <formula>ISERROR(SEARCH("Très modestes",B3))</formula>
    </cfRule>
  </conditionalFormatting>
  <conditionalFormatting sqref="T20">
    <cfRule type="expression" dxfId="22" priority="33">
      <formula>IF($B$3="Très modestes",TRUE,FALSE)</formula>
    </cfRule>
    <cfRule type="expression" dxfId="21" priority="34">
      <formula>IF($B$3="modestes",TRUE,FALSE)</formula>
    </cfRule>
  </conditionalFormatting>
  <conditionalFormatting sqref="U21:U46">
    <cfRule type="expression" dxfId="20" priority="1">
      <formula>IF(U21="",TRUE,FALSE)</formula>
    </cfRule>
    <cfRule type="expression" dxfId="19" priority="35">
      <formula>IF($B$5&lt;U21,TRUE,FALSE)</formula>
    </cfRule>
  </conditionalFormatting>
  <conditionalFormatting sqref="J20">
    <cfRule type="expression" dxfId="18" priority="17">
      <formula>IF($B$3="Très modestes",TRUE,FALSE)</formula>
    </cfRule>
    <cfRule type="expression" dxfId="17" priority="18">
      <formula>IF($B$3="modestes",TRUE,FALSE)</formula>
    </cfRule>
  </conditionalFormatting>
  <conditionalFormatting sqref="L20">
    <cfRule type="expression" dxfId="16" priority="13">
      <formula>IF($B$3="Très modestes",TRUE,FALSE)</formula>
    </cfRule>
    <cfRule type="expression" dxfId="15" priority="14">
      <formula>IF($B$3="modestes",TRUE,FALSE)</formula>
    </cfRule>
  </conditionalFormatting>
  <conditionalFormatting sqref="R20">
    <cfRule type="expression" dxfId="14" priority="9">
      <formula>IF($B$3="Très modestes",TRUE,FALSE)</formula>
    </cfRule>
    <cfRule type="expression" dxfId="13" priority="10">
      <formula>IF($B$3="modestes",TRUE,FALSE)</formula>
    </cfRule>
  </conditionalFormatting>
  <conditionalFormatting sqref="O20">
    <cfRule type="expression" dxfId="12" priority="5">
      <formula>IF($B$3="Très modestes",TRUE,FALSE)</formula>
    </cfRule>
    <cfRule type="expression" dxfId="11" priority="6">
      <formula>IF($B$3="modestes",TRUE,FALSE)</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5" id="{5B4C43AA-6F1B-43D1-8776-ED5DD4162311}">
            <xm:f>IF($B$3=Matrices!$F$85,TRUE,FALSE)</xm:f>
            <x14:dxf>
              <fill>
                <patternFill>
                  <bgColor theme="5" tint="0.59996337778862885"/>
                </patternFill>
              </fill>
            </x14:dxf>
          </x14:cfRule>
          <x14:cfRule type="expression" priority="26" id="{2FA095A1-F2BF-4927-B743-EA39270139B9}">
            <xm:f>IF($B$3=Matrices!$E$85,TRUE,FALSE)</xm:f>
            <x14:dxf>
              <font>
                <color theme="0"/>
              </font>
              <fill>
                <patternFill>
                  <bgColor rgb="FFA50021"/>
                </patternFill>
              </fill>
            </x14:dxf>
          </x14:cfRule>
          <xm:sqref>B3 T20</xm:sqref>
        </x14:conditionalFormatting>
        <x14:conditionalFormatting xmlns:xm="http://schemas.microsoft.com/office/excel/2006/main">
          <x14:cfRule type="expression" priority="15" id="{8EF77B86-AACB-4D4D-8E20-C035D0CDD517}">
            <xm:f>IF($B$3=Matrices!$F$85,TRUE,FALSE)</xm:f>
            <x14:dxf>
              <fill>
                <patternFill>
                  <bgColor theme="5" tint="0.59996337778862885"/>
                </patternFill>
              </fill>
            </x14:dxf>
          </x14:cfRule>
          <x14:cfRule type="expression" priority="16" id="{46EF08E5-467A-4D3B-B5E9-8A1D16ADE5D7}">
            <xm:f>IF($B$3=Matrices!$E$85,TRUE,FALSE)</xm:f>
            <x14:dxf>
              <font>
                <color theme="0"/>
              </font>
              <fill>
                <patternFill>
                  <bgColor rgb="FFA50021"/>
                </patternFill>
              </fill>
            </x14:dxf>
          </x14:cfRule>
          <xm:sqref>J20</xm:sqref>
        </x14:conditionalFormatting>
        <x14:conditionalFormatting xmlns:xm="http://schemas.microsoft.com/office/excel/2006/main">
          <x14:cfRule type="expression" priority="11" id="{4085BA4E-3CFB-431E-8258-EB0E80CC6ABA}">
            <xm:f>IF($B$3=Matrices!$F$85,TRUE,FALSE)</xm:f>
            <x14:dxf>
              <fill>
                <patternFill>
                  <bgColor theme="5" tint="0.59996337778862885"/>
                </patternFill>
              </fill>
            </x14:dxf>
          </x14:cfRule>
          <x14:cfRule type="expression" priority="12" id="{33815C41-2D7C-4A29-BF44-1FCA82761CE8}">
            <xm:f>IF($B$3=Matrices!$E$85,TRUE,FALSE)</xm:f>
            <x14:dxf>
              <font>
                <color theme="0"/>
              </font>
              <fill>
                <patternFill>
                  <bgColor rgb="FFA50021"/>
                </patternFill>
              </fill>
            </x14:dxf>
          </x14:cfRule>
          <xm:sqref>L20</xm:sqref>
        </x14:conditionalFormatting>
        <x14:conditionalFormatting xmlns:xm="http://schemas.microsoft.com/office/excel/2006/main">
          <x14:cfRule type="expression" priority="7" id="{920BDBBA-8A5B-4FF3-9291-50F359293813}">
            <xm:f>IF($B$3=Matrices!$F$85,TRUE,FALSE)</xm:f>
            <x14:dxf>
              <fill>
                <patternFill>
                  <bgColor theme="5" tint="0.59996337778862885"/>
                </patternFill>
              </fill>
            </x14:dxf>
          </x14:cfRule>
          <x14:cfRule type="expression" priority="8" id="{9C974676-A0B0-4F8C-AE0C-1DF90623CA34}">
            <xm:f>IF($B$3=Matrices!$E$85,TRUE,FALSE)</xm:f>
            <x14:dxf>
              <font>
                <color theme="0"/>
              </font>
              <fill>
                <patternFill>
                  <bgColor rgb="FFA50021"/>
                </patternFill>
              </fill>
            </x14:dxf>
          </x14:cfRule>
          <xm:sqref>R20</xm:sqref>
        </x14:conditionalFormatting>
        <x14:conditionalFormatting xmlns:xm="http://schemas.microsoft.com/office/excel/2006/main">
          <x14:cfRule type="expression" priority="3" id="{2BFAE0C9-E425-4809-B015-4186B4681089}">
            <xm:f>IF($B$3=Matrices!$F$85,TRUE,FALSE)</xm:f>
            <x14:dxf>
              <fill>
                <patternFill>
                  <bgColor theme="5" tint="0.59996337778862885"/>
                </patternFill>
              </fill>
            </x14:dxf>
          </x14:cfRule>
          <x14:cfRule type="expression" priority="4" id="{AEA52548-C8EE-4EDD-B61E-E15A0FB722AE}">
            <xm:f>IF($B$3=Matrices!$E$85,TRUE,FALSE)</xm:f>
            <x14:dxf>
              <font>
                <color theme="0"/>
              </font>
              <fill>
                <patternFill>
                  <bgColor rgb="FFA50021"/>
                </patternFill>
              </fill>
            </x14:dxf>
          </x14:cfRule>
          <xm:sqref>O20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0D5B8D3-22CE-4190-BBDA-CF0DAAA86507}">
          <x14:formula1>
            <xm:f>Matrices!$B$107:$B$134</xm:f>
          </x14:formula1>
          <xm:sqref>A21:A22</xm:sqref>
        </x14:dataValidation>
        <x14:dataValidation type="list" allowBlank="1" showInputMessage="1" showErrorMessage="1" xr:uid="{B7F2336C-2FA7-4CE6-BFC4-8E06F6D63DE2}">
          <x14:formula1>
            <xm:f>Matrices!$D$106:$G$106</xm:f>
          </x14:formula1>
          <xm:sqref>B3</xm:sqref>
        </x14:dataValidation>
        <x14:dataValidation type="list" allowBlank="1" showInputMessage="1" showErrorMessage="1" xr:uid="{83BE2722-DF27-40A2-A45C-31148842D1E2}">
          <x14:formula1>
            <xm:f>Matrices!$K$5:$K$10</xm:f>
          </x14:formula1>
          <xm:sqref>D19 B6</xm:sqref>
        </x14:dataValidation>
        <x14:dataValidation type="list" allowBlank="1" showInputMessage="1" showErrorMessage="1" xr:uid="{5DF99974-C695-4E2E-A845-286970F56426}">
          <x14:formula1>
            <xm:f>Matrices!$E$5:$E$6</xm:f>
          </x14:formula1>
          <xm:sqref>B12:B13 B8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5E7E-B370-4AC6-B2B8-264E0C5EDCC6}">
  <sheetPr>
    <tabColor theme="1"/>
  </sheetPr>
  <dimension ref="A1:AI319"/>
  <sheetViews>
    <sheetView topLeftCell="A64" zoomScale="70" zoomScaleNormal="70" workbookViewId="0">
      <selection activeCell="B84" sqref="B84:F95"/>
    </sheetView>
  </sheetViews>
  <sheetFormatPr baseColWidth="10" defaultColWidth="11.5703125" defaultRowHeight="15" x14ac:dyDescent="0.25"/>
  <cols>
    <col min="1" max="1" width="11.5703125" style="2"/>
    <col min="2" max="2" width="88.5703125" style="2" bestFit="1" customWidth="1"/>
    <col min="3" max="3" width="23.42578125" style="2" customWidth="1"/>
    <col min="4" max="4" width="18.140625" style="2" customWidth="1"/>
    <col min="5" max="5" width="22.42578125" style="2" customWidth="1"/>
    <col min="6" max="6" width="17" style="2" customWidth="1"/>
    <col min="7" max="7" width="23.140625" style="2" customWidth="1"/>
    <col min="8" max="8" width="20.42578125" style="2" customWidth="1"/>
    <col min="9" max="9" width="22.85546875" style="2" customWidth="1"/>
    <col min="10" max="10" width="47.140625" style="2" customWidth="1"/>
    <col min="11" max="11" width="31.85546875" style="2" customWidth="1"/>
    <col min="12" max="12" width="28" style="2" customWidth="1"/>
    <col min="13" max="13" width="31.5703125" style="2" customWidth="1"/>
    <col min="14" max="14" width="14.5703125" style="2" customWidth="1"/>
    <col min="15" max="15" width="19.85546875" style="2" customWidth="1"/>
    <col min="16" max="17" width="17.42578125" style="2" customWidth="1"/>
    <col min="18" max="18" width="10.85546875" style="2" customWidth="1"/>
    <col min="19" max="19" width="11.5703125" style="2"/>
    <col min="20" max="20" width="17.85546875" style="2" customWidth="1"/>
    <col min="21" max="21" width="15.85546875" style="2" customWidth="1"/>
    <col min="22" max="22" width="11.5703125" style="2"/>
    <col min="23" max="23" width="21.5703125" style="2" customWidth="1"/>
    <col min="24" max="24" width="19.140625" style="2" customWidth="1"/>
    <col min="25" max="25" width="11.5703125" style="2"/>
    <col min="26" max="26" width="18.140625" style="2" customWidth="1"/>
    <col min="27" max="27" width="25.85546875" style="2" customWidth="1"/>
    <col min="28" max="28" width="20.42578125" style="2" customWidth="1"/>
    <col min="29" max="29" width="19.140625" style="2" customWidth="1"/>
    <col min="30" max="30" width="16.85546875" style="2" customWidth="1"/>
    <col min="31" max="31" width="19.5703125" style="2" customWidth="1"/>
    <col min="32" max="32" width="21.5703125" style="2" customWidth="1"/>
    <col min="33" max="33" width="13" style="2" customWidth="1"/>
    <col min="34" max="34" width="11.5703125" style="2"/>
    <col min="35" max="35" width="13.85546875" style="2" customWidth="1"/>
    <col min="36" max="16384" width="11.5703125" style="2"/>
  </cols>
  <sheetData>
    <row r="1" spans="2:22" ht="15.75" thickBot="1" x14ac:dyDescent="0.3"/>
    <row r="2" spans="2:22" ht="16.5" thickBot="1" x14ac:dyDescent="0.3">
      <c r="B2" s="728" t="s">
        <v>3</v>
      </c>
      <c r="C2" s="729"/>
      <c r="D2" s="729"/>
      <c r="E2" s="729"/>
      <c r="F2" s="729"/>
      <c r="G2" s="729"/>
      <c r="H2" s="729"/>
      <c r="I2" s="729"/>
      <c r="J2" s="730"/>
      <c r="L2" s="582" t="s">
        <v>592</v>
      </c>
    </row>
    <row r="3" spans="2:22" ht="7.35" customHeight="1" x14ac:dyDescent="0.25">
      <c r="B3" s="3"/>
      <c r="L3" s="615">
        <v>44777</v>
      </c>
    </row>
    <row r="4" spans="2:22" s="8" customFormat="1" ht="30" x14ac:dyDescent="0.25">
      <c r="B4" s="4" t="s">
        <v>4</v>
      </c>
      <c r="C4" s="4" t="s">
        <v>5</v>
      </c>
      <c r="D4" s="4" t="s">
        <v>6</v>
      </c>
      <c r="E4" s="5" t="s">
        <v>7</v>
      </c>
      <c r="F4" s="4" t="s">
        <v>8</v>
      </c>
      <c r="G4" s="4" t="s">
        <v>9</v>
      </c>
      <c r="H4" s="5" t="s">
        <v>10</v>
      </c>
      <c r="I4" s="6" t="s">
        <v>11</v>
      </c>
      <c r="J4" s="7" t="s">
        <v>12</v>
      </c>
      <c r="K4" s="7" t="s">
        <v>13</v>
      </c>
      <c r="L4" s="7" t="s">
        <v>591</v>
      </c>
      <c r="M4" s="7" t="s">
        <v>14</v>
      </c>
      <c r="N4" s="7" t="s">
        <v>15</v>
      </c>
      <c r="O4" s="7" t="s">
        <v>16</v>
      </c>
      <c r="P4" s="7" t="s">
        <v>17</v>
      </c>
    </row>
    <row r="5" spans="2:22" x14ac:dyDescent="0.25">
      <c r="B5" s="9" t="s">
        <v>18</v>
      </c>
      <c r="C5" s="10" t="s">
        <v>19</v>
      </c>
      <c r="D5" s="11" t="s">
        <v>20</v>
      </c>
      <c r="E5" s="12" t="s">
        <v>21</v>
      </c>
      <c r="F5" s="9" t="s">
        <v>22</v>
      </c>
      <c r="G5" s="12" t="s">
        <v>23</v>
      </c>
      <c r="H5" s="9">
        <v>1</v>
      </c>
      <c r="I5" s="13" t="s">
        <v>24</v>
      </c>
      <c r="J5" s="14" t="s">
        <v>25</v>
      </c>
      <c r="K5" s="15" t="s">
        <v>26</v>
      </c>
      <c r="L5" s="583">
        <v>0.17599999999999999</v>
      </c>
      <c r="M5" s="16" t="s">
        <v>27</v>
      </c>
      <c r="N5" s="17" t="s">
        <v>28</v>
      </c>
      <c r="O5" s="17" t="s">
        <v>29</v>
      </c>
      <c r="P5" s="17" t="s">
        <v>598</v>
      </c>
      <c r="Q5" s="2">
        <v>0</v>
      </c>
    </row>
    <row r="6" spans="2:22" x14ac:dyDescent="0.25">
      <c r="B6" s="18" t="s">
        <v>30</v>
      </c>
      <c r="C6" s="19" t="s">
        <v>31</v>
      </c>
      <c r="D6" s="11" t="s">
        <v>32</v>
      </c>
      <c r="E6" s="11" t="s">
        <v>33</v>
      </c>
      <c r="F6" s="18" t="s">
        <v>34</v>
      </c>
      <c r="G6" s="11" t="s">
        <v>35</v>
      </c>
      <c r="H6" s="18">
        <v>2</v>
      </c>
      <c r="I6" s="20" t="s">
        <v>36</v>
      </c>
      <c r="J6" s="21" t="s">
        <v>37</v>
      </c>
      <c r="K6" s="22" t="s">
        <v>38</v>
      </c>
      <c r="L6" s="584">
        <v>0.126</v>
      </c>
      <c r="M6" s="16" t="s">
        <v>39</v>
      </c>
      <c r="N6" s="23" t="s">
        <v>40</v>
      </c>
      <c r="O6" s="23" t="s">
        <v>41</v>
      </c>
      <c r="P6" s="16" t="str">
        <f>C143</f>
        <v>Travaux unique</v>
      </c>
      <c r="Q6" s="2">
        <v>15000</v>
      </c>
    </row>
    <row r="7" spans="2:22" x14ac:dyDescent="0.25">
      <c r="B7" s="18" t="s">
        <v>42</v>
      </c>
      <c r="C7" s="24"/>
      <c r="D7" s="25"/>
      <c r="E7" s="25"/>
      <c r="F7" s="18" t="s">
        <v>43</v>
      </c>
      <c r="G7" s="11" t="s">
        <v>44</v>
      </c>
      <c r="H7" s="18">
        <v>3</v>
      </c>
      <c r="I7" s="20" t="s">
        <v>45</v>
      </c>
      <c r="J7" s="21" t="s">
        <v>46</v>
      </c>
      <c r="K7" s="22" t="s">
        <v>47</v>
      </c>
      <c r="L7" s="584">
        <v>0.186</v>
      </c>
      <c r="M7" s="16" t="s">
        <v>48</v>
      </c>
      <c r="N7" s="23" t="s">
        <v>49</v>
      </c>
      <c r="O7" s="23"/>
      <c r="P7" s="16" t="str">
        <f>D143</f>
        <v>2 travaux</v>
      </c>
      <c r="Q7" s="2">
        <v>25000</v>
      </c>
    </row>
    <row r="8" spans="2:22" x14ac:dyDescent="0.25">
      <c r="B8" s="27"/>
      <c r="F8" s="18" t="s">
        <v>50</v>
      </c>
      <c r="G8" s="11" t="s">
        <v>51</v>
      </c>
      <c r="H8" s="18">
        <v>4</v>
      </c>
      <c r="I8" s="20" t="s">
        <v>52</v>
      </c>
      <c r="J8" s="28" t="s">
        <v>53</v>
      </c>
      <c r="K8" s="22" t="s">
        <v>54</v>
      </c>
      <c r="L8" s="584">
        <v>0.161</v>
      </c>
      <c r="M8" s="16" t="s">
        <v>55</v>
      </c>
      <c r="N8" s="30"/>
      <c r="O8" s="30"/>
      <c r="P8" s="16" t="str">
        <f>E143</f>
        <v>3 travaux et plus</v>
      </c>
      <c r="Q8" s="2">
        <v>30000</v>
      </c>
    </row>
    <row r="9" spans="2:22" x14ac:dyDescent="0.25">
      <c r="F9" s="31" t="s">
        <v>56</v>
      </c>
      <c r="G9" s="25"/>
      <c r="H9" s="18">
        <v>5</v>
      </c>
      <c r="I9" s="20" t="s">
        <v>57</v>
      </c>
      <c r="K9" s="22" t="s">
        <v>58</v>
      </c>
      <c r="L9" s="584">
        <v>4.4999999999999998E-2</v>
      </c>
      <c r="M9" s="26"/>
      <c r="P9" s="16" t="str">
        <f>G143</f>
        <v>Performance globale 35%</v>
      </c>
      <c r="Q9" s="2">
        <v>50000</v>
      </c>
    </row>
    <row r="10" spans="2:22" x14ac:dyDescent="0.25">
      <c r="F10" s="18" t="s">
        <v>59</v>
      </c>
      <c r="H10" s="18">
        <v>6</v>
      </c>
      <c r="I10" s="20" t="s">
        <v>60</v>
      </c>
      <c r="K10" s="22" t="s">
        <v>61</v>
      </c>
      <c r="L10" s="584">
        <v>8.5999999999999993E-2</v>
      </c>
    </row>
    <row r="11" spans="2:22" x14ac:dyDescent="0.25">
      <c r="F11" s="27"/>
      <c r="H11" s="18">
        <v>7</v>
      </c>
      <c r="I11" s="20" t="s">
        <v>62</v>
      </c>
      <c r="K11" s="32"/>
      <c r="L11" s="32"/>
    </row>
    <row r="12" spans="2:22" x14ac:dyDescent="0.25">
      <c r="H12" s="18">
        <v>8</v>
      </c>
      <c r="I12" s="20" t="s">
        <v>63</v>
      </c>
    </row>
    <row r="13" spans="2:22" x14ac:dyDescent="0.25">
      <c r="H13" s="18">
        <v>9</v>
      </c>
      <c r="I13" s="33"/>
      <c r="R13" s="34"/>
      <c r="V13" s="34"/>
    </row>
    <row r="14" spans="2:22" x14ac:dyDescent="0.25">
      <c r="H14" s="18">
        <v>10</v>
      </c>
      <c r="I14" s="35"/>
      <c r="R14" s="34"/>
      <c r="V14" s="34"/>
    </row>
    <row r="15" spans="2:22" x14ac:dyDescent="0.25">
      <c r="H15" s="27"/>
      <c r="R15" s="34"/>
    </row>
    <row r="17" spans="1:28" ht="16.5" thickBot="1" x14ac:dyDescent="0.3">
      <c r="Z17" s="36"/>
      <c r="AA17" s="36"/>
      <c r="AB17" s="36"/>
    </row>
    <row r="18" spans="1:28" ht="15.75" customHeight="1" thickBot="1" x14ac:dyDescent="0.3">
      <c r="B18" s="728" t="s">
        <v>64</v>
      </c>
      <c r="C18" s="729"/>
      <c r="D18" s="729"/>
      <c r="E18" s="729"/>
      <c r="F18" s="729"/>
      <c r="G18" s="729"/>
      <c r="H18" s="729"/>
      <c r="I18" s="729"/>
      <c r="J18" s="729"/>
      <c r="K18" s="729"/>
      <c r="L18" s="729"/>
      <c r="M18" s="729"/>
      <c r="N18" s="729"/>
      <c r="O18" s="729"/>
      <c r="P18" s="729"/>
      <c r="Q18" s="729"/>
      <c r="R18" s="729"/>
      <c r="S18" s="730"/>
    </row>
    <row r="19" spans="1:28" ht="15.75" thickBot="1" x14ac:dyDescent="0.3">
      <c r="E19" s="735" t="s">
        <v>65</v>
      </c>
      <c r="F19" s="736"/>
      <c r="G19" s="737" t="s">
        <v>602</v>
      </c>
      <c r="H19" s="738"/>
      <c r="I19" s="738"/>
      <c r="J19" s="600" t="s">
        <v>603</v>
      </c>
      <c r="K19" s="601"/>
      <c r="M19" s="601"/>
      <c r="N19" s="602"/>
      <c r="O19" s="534" t="s">
        <v>66</v>
      </c>
      <c r="P19" s="524"/>
      <c r="Q19" s="524"/>
      <c r="R19" s="524"/>
      <c r="S19" s="535" t="s">
        <v>67</v>
      </c>
      <c r="T19" s="536"/>
    </row>
    <row r="20" spans="1:28" ht="15.75" thickBot="1" x14ac:dyDescent="0.3">
      <c r="B20" s="37" t="s">
        <v>68</v>
      </c>
      <c r="C20" s="38" t="s">
        <v>69</v>
      </c>
      <c r="D20" s="39" t="s">
        <v>595</v>
      </c>
      <c r="E20" s="40" t="s">
        <v>71</v>
      </c>
      <c r="F20" s="41" t="s">
        <v>70</v>
      </c>
      <c r="G20" s="596" t="s">
        <v>72</v>
      </c>
      <c r="H20" s="43" t="s">
        <v>73</v>
      </c>
      <c r="I20" s="597" t="s">
        <v>74</v>
      </c>
      <c r="J20" s="598" t="s">
        <v>75</v>
      </c>
      <c r="K20" s="599" t="s">
        <v>606</v>
      </c>
      <c r="L20" s="599" t="s">
        <v>74</v>
      </c>
      <c r="M20" s="42" t="s">
        <v>76</v>
      </c>
      <c r="N20" s="39" t="s">
        <v>77</v>
      </c>
      <c r="O20" s="42" t="s">
        <v>73</v>
      </c>
      <c r="P20" s="38" t="s">
        <v>74</v>
      </c>
      <c r="Q20" s="44" t="s">
        <v>78</v>
      </c>
      <c r="R20" s="45" t="s">
        <v>79</v>
      </c>
      <c r="S20" s="46" t="s">
        <v>80</v>
      </c>
      <c r="T20" s="47" t="s">
        <v>81</v>
      </c>
      <c r="Z20" s="34"/>
      <c r="AA20" s="48"/>
    </row>
    <row r="21" spans="1:28" x14ac:dyDescent="0.25">
      <c r="A21" s="2">
        <v>0</v>
      </c>
      <c r="B21" s="49" t="s">
        <v>82</v>
      </c>
      <c r="C21" s="50">
        <f>'💰 Financement 1'!R45</f>
        <v>0.126</v>
      </c>
      <c r="D21" s="51">
        <f t="shared" ref="D21:D41" si="0">(C21-$C$21)/$C$21</f>
        <v>0</v>
      </c>
      <c r="E21" s="50">
        <f>'💰 Financement 1'!T45</f>
        <v>0.126</v>
      </c>
      <c r="F21" s="53">
        <f t="shared" ref="F21:F41" si="1">(E21-$E$21)/$E$21</f>
        <v>0</v>
      </c>
      <c r="G21" s="603">
        <f>'💰 Financement 1'!$R$43*C21+'💰 Financement 1'!$R$47</f>
        <v>2670</v>
      </c>
      <c r="H21" s="603">
        <f>I21/1</f>
        <v>2670</v>
      </c>
      <c r="I21" s="604">
        <f>G21</f>
        <v>2670</v>
      </c>
      <c r="J21" s="605">
        <f>G21</f>
        <v>2670</v>
      </c>
      <c r="K21" s="612">
        <f>IF(12*A21&lt;'💰 Financement 1'!$J$45,12*'💰 Financement 1'!$J$47,0)+'💰 Financement 1'!H34</f>
        <v>1724.1566666666665</v>
      </c>
      <c r="L21" s="604">
        <f>J21+K21</f>
        <v>4394.1566666666668</v>
      </c>
      <c r="M21" s="52">
        <f t="shared" ref="M21:M41" si="2">G21-J21</f>
        <v>0</v>
      </c>
      <c r="N21" s="54">
        <f>M21</f>
        <v>0</v>
      </c>
      <c r="O21" s="52" t="e">
        <f>P21/1</f>
        <v>#REF!</v>
      </c>
      <c r="P21" s="52" t="e">
        <f>IF(AND(#REF!="",#REF!=""),L21+#REF!,Matrices!L21+Matrices!Q21+R21+#REF!)</f>
        <v>#REF!</v>
      </c>
      <c r="Q21" s="55"/>
      <c r="R21" s="56"/>
      <c r="S21" s="57" t="e">
        <f>#REF!</f>
        <v>#REF!</v>
      </c>
      <c r="T21" s="58" t="e">
        <f>#REF!+(IF(#REF!="",0,#REF!))</f>
        <v>#REF!</v>
      </c>
      <c r="Z21" s="34"/>
      <c r="AA21" s="48"/>
    </row>
    <row r="22" spans="1:28" x14ac:dyDescent="0.25">
      <c r="A22" s="2">
        <v>1</v>
      </c>
      <c r="B22" s="59" t="s">
        <v>83</v>
      </c>
      <c r="C22" s="60">
        <f>C21*(1+'💰 Financement 1'!$R$46)</f>
        <v>0.1323</v>
      </c>
      <c r="D22" s="61">
        <f>(C22-$C$21)/$C$21</f>
        <v>0.05</v>
      </c>
      <c r="E22" s="60">
        <f>E21*(1+'💰 Financement 1'!$T$46)</f>
        <v>0.1323</v>
      </c>
      <c r="F22" s="63">
        <f t="shared" si="1"/>
        <v>0.05</v>
      </c>
      <c r="G22" s="606">
        <f>'💰 Financement 1'!$R$43*C22+'💰 Financement 1'!$R$47</f>
        <v>2796</v>
      </c>
      <c r="H22" s="606">
        <f>I22/2</f>
        <v>2733</v>
      </c>
      <c r="I22" s="607">
        <f t="shared" ref="I22:I41" si="3">I21+G22</f>
        <v>5466</v>
      </c>
      <c r="J22" s="607">
        <f>'💰 Financement 1'!$T$43*Matrices!E22+'💰 Financement 1'!$T$47</f>
        <v>1869.9</v>
      </c>
      <c r="K22" s="607">
        <f>IF(12*A22&lt;'💰 Financement 1'!$J$45,12*'💰 Financement 1'!$J$47,0)</f>
        <v>1724.1566666666665</v>
      </c>
      <c r="L22" s="607">
        <f>L21+J22+K22</f>
        <v>7988.213333333334</v>
      </c>
      <c r="M22" s="62">
        <f t="shared" si="2"/>
        <v>926.09999999999991</v>
      </c>
      <c r="N22" s="64">
        <f>N21+M22</f>
        <v>926.09999999999991</v>
      </c>
      <c r="O22" s="65" t="e">
        <f>P22/2</f>
        <v>#REF!</v>
      </c>
      <c r="P22" s="65" t="e">
        <f>IF(AND(#REF!="",#REF!=""),L22+#REF!,Matrices!L22+Matrices!Q22+R22+#REF!)</f>
        <v>#REF!</v>
      </c>
      <c r="Q22" s="66" t="e">
        <f>IF(#REF!&gt;0,(#REF!+#REF!)/#REF!,0)</f>
        <v>#REF!</v>
      </c>
      <c r="R22" s="64" t="e">
        <f>IF(#REF!&gt;0,#REF!/#REF!,0)</f>
        <v>#REF!</v>
      </c>
      <c r="S22" s="67" t="e">
        <f>S21</f>
        <v>#REF!</v>
      </c>
      <c r="T22" s="68" t="e">
        <f>T21</f>
        <v>#REF!</v>
      </c>
      <c r="Z22" s="34"/>
      <c r="AA22" s="48"/>
    </row>
    <row r="23" spans="1:28" x14ac:dyDescent="0.25">
      <c r="A23" s="2">
        <v>2</v>
      </c>
      <c r="B23" s="59" t="s">
        <v>84</v>
      </c>
      <c r="C23" s="60">
        <f>C22*(1+'💰 Financement 1'!$R$46)</f>
        <v>0.13891500000000001</v>
      </c>
      <c r="D23" s="61">
        <f t="shared" si="0"/>
        <v>0.10250000000000008</v>
      </c>
      <c r="E23" s="60">
        <f>E22*(1+'💰 Financement 1'!$T$46)</f>
        <v>0.13891500000000001</v>
      </c>
      <c r="F23" s="63">
        <f t="shared" si="1"/>
        <v>0.10250000000000008</v>
      </c>
      <c r="G23" s="606">
        <f>'💰 Financement 1'!$R$43*C23+'💰 Financement 1'!$R$47</f>
        <v>2928.3</v>
      </c>
      <c r="H23" s="606">
        <f>I23/3</f>
        <v>2798.1</v>
      </c>
      <c r="I23" s="607">
        <f t="shared" si="3"/>
        <v>8394.2999999999993</v>
      </c>
      <c r="J23" s="607">
        <f>'💰 Financement 1'!$T$43*Matrices!E23+'💰 Financement 1'!$T$47</f>
        <v>1955.8950000000002</v>
      </c>
      <c r="K23" s="607">
        <f>IF(12*A23&lt;'💰 Financement 1'!$J$45,12*'💰 Financement 1'!$J$47,0)</f>
        <v>1724.1566666666665</v>
      </c>
      <c r="L23" s="607">
        <f t="shared" ref="L23:L41" si="4">L22+J23+K23</f>
        <v>11668.264999999999</v>
      </c>
      <c r="M23" s="62">
        <f t="shared" si="2"/>
        <v>972.40499999999997</v>
      </c>
      <c r="N23" s="64">
        <f t="shared" ref="N23:N41" si="5">N22+M23</f>
        <v>1898.5049999999999</v>
      </c>
      <c r="O23" s="65" t="e">
        <f>P23/3</f>
        <v>#REF!</v>
      </c>
      <c r="P23" s="65" t="e">
        <f>IF(AND(#REF!="",#REF!=""),L23+#REF!,Matrices!L23+Matrices!Q23+R23+#REF!)</f>
        <v>#REF!</v>
      </c>
      <c r="Q23" s="66" t="e">
        <f>IF(#REF!&gt;1,(#REF!+#REF!)/#REF!,0)</f>
        <v>#REF!</v>
      </c>
      <c r="R23" s="64" t="e">
        <f>IF(#REF!&gt;1,#REF!/#REF!,0)</f>
        <v>#REF!</v>
      </c>
      <c r="S23" s="67" t="e">
        <f t="shared" ref="S23:T38" si="6">S22</f>
        <v>#REF!</v>
      </c>
      <c r="T23" s="68" t="e">
        <f t="shared" si="6"/>
        <v>#REF!</v>
      </c>
      <c r="Z23" s="34"/>
      <c r="AA23" s="48"/>
    </row>
    <row r="24" spans="1:28" x14ac:dyDescent="0.25">
      <c r="A24" s="2">
        <v>3</v>
      </c>
      <c r="B24" s="59" t="s">
        <v>85</v>
      </c>
      <c r="C24" s="60">
        <f>C23*(1+'💰 Financement 1'!$R$46)</f>
        <v>0.14586075000000001</v>
      </c>
      <c r="D24" s="61">
        <f t="shared" si="0"/>
        <v>0.15762500000000007</v>
      </c>
      <c r="E24" s="60">
        <f>E23*(1+'💰 Financement 1'!$T$46)</f>
        <v>0.14586075000000001</v>
      </c>
      <c r="F24" s="63">
        <f t="shared" si="1"/>
        <v>0.15762500000000007</v>
      </c>
      <c r="G24" s="606">
        <f>'💰 Financement 1'!$R$43*C24+'💰 Financement 1'!$R$47</f>
        <v>3067.2150000000001</v>
      </c>
      <c r="H24" s="606">
        <f>I24/4</f>
        <v>2865.3787499999999</v>
      </c>
      <c r="I24" s="607">
        <f t="shared" si="3"/>
        <v>11461.514999999999</v>
      </c>
      <c r="J24" s="607">
        <f>'💰 Financement 1'!$T$43*Matrices!E24+'💰 Financement 1'!$T$47</f>
        <v>2046.1897500000002</v>
      </c>
      <c r="K24" s="607">
        <f>IF(12*A24&lt;'💰 Financement 1'!$J$45,12*'💰 Financement 1'!$J$47,0)</f>
        <v>1724.1566666666665</v>
      </c>
      <c r="L24" s="607">
        <f t="shared" si="4"/>
        <v>15438.611416666665</v>
      </c>
      <c r="M24" s="62">
        <f t="shared" si="2"/>
        <v>1021.0252499999999</v>
      </c>
      <c r="N24" s="64">
        <f t="shared" si="5"/>
        <v>2919.5302499999998</v>
      </c>
      <c r="O24" s="65" t="e">
        <f>P24/4</f>
        <v>#REF!</v>
      </c>
      <c r="P24" s="65" t="e">
        <f>IF(AND(#REF!="",#REF!=""),L24+#REF!,Matrices!L24+Matrices!Q24+R24+#REF!)</f>
        <v>#REF!</v>
      </c>
      <c r="Q24" s="66" t="e">
        <f>IF(#REF!&gt;2,(#REF!+#REF!)/#REF!,0)</f>
        <v>#REF!</v>
      </c>
      <c r="R24" s="64" t="e">
        <f>IF(#REF!&gt;2,#REF!/#REF!,0)</f>
        <v>#REF!</v>
      </c>
      <c r="S24" s="67" t="e">
        <f t="shared" si="6"/>
        <v>#REF!</v>
      </c>
      <c r="T24" s="68" t="e">
        <f t="shared" si="6"/>
        <v>#REF!</v>
      </c>
      <c r="Z24" s="34"/>
      <c r="AA24" s="48"/>
    </row>
    <row r="25" spans="1:28" x14ac:dyDescent="0.25">
      <c r="A25" s="2">
        <v>4</v>
      </c>
      <c r="B25" s="59" t="s">
        <v>86</v>
      </c>
      <c r="C25" s="60">
        <f>C24*(1+'💰 Financement 1'!$R$46)</f>
        <v>0.15315378750000003</v>
      </c>
      <c r="D25" s="61">
        <f t="shared" si="0"/>
        <v>0.2155062500000002</v>
      </c>
      <c r="E25" s="60">
        <f>E24*(1+'💰 Financement 1'!$T$46)</f>
        <v>0.15315378750000003</v>
      </c>
      <c r="F25" s="63">
        <f t="shared" si="1"/>
        <v>0.2155062500000002</v>
      </c>
      <c r="G25" s="606">
        <f>'💰 Financement 1'!$R$43*C25+'💰 Financement 1'!$R$47</f>
        <v>3213.0757500000004</v>
      </c>
      <c r="H25" s="606">
        <f>I25/5</f>
        <v>2934.91815</v>
      </c>
      <c r="I25" s="607">
        <f t="shared" si="3"/>
        <v>14674.590749999999</v>
      </c>
      <c r="J25" s="607">
        <f>'💰 Financement 1'!$T$43*Matrices!E25+'💰 Financement 1'!$T$47</f>
        <v>2140.9992375000002</v>
      </c>
      <c r="K25" s="607">
        <f>IF(12*A25&lt;'💰 Financement 1'!$J$45,12*'💰 Financement 1'!$J$47,0)</f>
        <v>1724.1566666666665</v>
      </c>
      <c r="L25" s="607">
        <f t="shared" si="4"/>
        <v>19303.767320833333</v>
      </c>
      <c r="M25" s="62">
        <f t="shared" si="2"/>
        <v>1072.0765125000003</v>
      </c>
      <c r="N25" s="64">
        <f t="shared" si="5"/>
        <v>3991.6067625000001</v>
      </c>
      <c r="O25" s="65" t="e">
        <f>P25/5</f>
        <v>#REF!</v>
      </c>
      <c r="P25" s="65" t="e">
        <f>IF(AND(#REF!="",#REF!=""),L25+#REF!,Matrices!L25+Matrices!Q25+R25+#REF!)</f>
        <v>#REF!</v>
      </c>
      <c r="Q25" s="66" t="e">
        <f>IF(#REF!&gt;3,(#REF!+#REF!)/#REF!,0)</f>
        <v>#REF!</v>
      </c>
      <c r="R25" s="64" t="e">
        <f>IF(#REF!&gt;3,#REF!/#REF!,0)</f>
        <v>#REF!</v>
      </c>
      <c r="S25" s="67" t="e">
        <f t="shared" si="6"/>
        <v>#REF!</v>
      </c>
      <c r="T25" s="68" t="e">
        <f t="shared" si="6"/>
        <v>#REF!</v>
      </c>
      <c r="Z25" s="34"/>
      <c r="AA25" s="48"/>
    </row>
    <row r="26" spans="1:28" x14ac:dyDescent="0.25">
      <c r="A26" s="2">
        <v>5</v>
      </c>
      <c r="B26" s="59" t="s">
        <v>87</v>
      </c>
      <c r="C26" s="60">
        <f>C25*(1+'💰 Financement 1'!$R$46)</f>
        <v>0.16081147687500003</v>
      </c>
      <c r="D26" s="61">
        <f t="shared" si="0"/>
        <v>0.27628156250000019</v>
      </c>
      <c r="E26" s="60">
        <f>E25*(1+'💰 Financement 1'!$T$46)</f>
        <v>0.16081147687500003</v>
      </c>
      <c r="F26" s="63">
        <f t="shared" si="1"/>
        <v>0.27628156250000019</v>
      </c>
      <c r="G26" s="606">
        <f>'💰 Financement 1'!$R$43*C26+'💰 Financement 1'!$R$47</f>
        <v>3366.2295375000003</v>
      </c>
      <c r="H26" s="606">
        <f>I26/6</f>
        <v>3006.8033812499998</v>
      </c>
      <c r="I26" s="607">
        <f t="shared" si="3"/>
        <v>18040.820287499999</v>
      </c>
      <c r="J26" s="607">
        <f>'💰 Financement 1'!$T$43*Matrices!E26+'💰 Financement 1'!$T$47</f>
        <v>2240.5491993750002</v>
      </c>
      <c r="K26" s="607">
        <f>IF(12*A26&lt;'💰 Financement 1'!$J$45,12*'💰 Financement 1'!$J$47,0)</f>
        <v>1724.1566666666665</v>
      </c>
      <c r="L26" s="607">
        <f t="shared" si="4"/>
        <v>23268.473186874999</v>
      </c>
      <c r="M26" s="62">
        <f t="shared" si="2"/>
        <v>1125.6803381250002</v>
      </c>
      <c r="N26" s="64">
        <f t="shared" si="5"/>
        <v>5117.2871006250007</v>
      </c>
      <c r="O26" s="65" t="e">
        <f>P26/6</f>
        <v>#REF!</v>
      </c>
      <c r="P26" s="65" t="e">
        <f>IF(AND(#REF!="",#REF!=""),L26+#REF!,Matrices!L26+Matrices!Q26+R26+#REF!)</f>
        <v>#REF!</v>
      </c>
      <c r="Q26" s="66" t="e">
        <f>IF(#REF!&gt;4,(#REF!+#REF!)/#REF!,0)</f>
        <v>#REF!</v>
      </c>
      <c r="R26" s="64" t="e">
        <f>IF(#REF!&gt;4,#REF!/#REF!,0)</f>
        <v>#REF!</v>
      </c>
      <c r="S26" s="67" t="e">
        <f t="shared" si="6"/>
        <v>#REF!</v>
      </c>
      <c r="T26" s="68" t="e">
        <f t="shared" si="6"/>
        <v>#REF!</v>
      </c>
      <c r="Z26" s="34"/>
      <c r="AA26" s="48"/>
    </row>
    <row r="27" spans="1:28" x14ac:dyDescent="0.25">
      <c r="A27" s="2">
        <v>6</v>
      </c>
      <c r="B27" s="59" t="s">
        <v>88</v>
      </c>
      <c r="C27" s="60">
        <f>C26*(1+'💰 Financement 1'!$R$46)</f>
        <v>0.16885205071875004</v>
      </c>
      <c r="D27" s="61">
        <f t="shared" si="0"/>
        <v>0.34009564062500025</v>
      </c>
      <c r="E27" s="60">
        <f>E26*(1+'💰 Financement 1'!$T$46)</f>
        <v>0.16885205071875004</v>
      </c>
      <c r="F27" s="63">
        <f t="shared" si="1"/>
        <v>0.34009564062500025</v>
      </c>
      <c r="G27" s="606">
        <f>'💰 Financement 1'!$R$43*C27+'💰 Financement 1'!$R$47</f>
        <v>3527.0410143750005</v>
      </c>
      <c r="H27" s="606">
        <f>I27/7</f>
        <v>3081.1230431250001</v>
      </c>
      <c r="I27" s="607">
        <f t="shared" si="3"/>
        <v>21567.861301875</v>
      </c>
      <c r="J27" s="607">
        <f>'💰 Financement 1'!$T$43*Matrices!E27+'💰 Financement 1'!$T$47</f>
        <v>2345.0766593437506</v>
      </c>
      <c r="K27" s="607">
        <f>IF(12*A27&lt;'💰 Financement 1'!$J$45,12*'💰 Financement 1'!$J$47,0)</f>
        <v>1724.1566666666665</v>
      </c>
      <c r="L27" s="607">
        <f t="shared" si="4"/>
        <v>27337.706512885416</v>
      </c>
      <c r="M27" s="62">
        <f t="shared" si="2"/>
        <v>1181.9643550312499</v>
      </c>
      <c r="N27" s="64">
        <f t="shared" si="5"/>
        <v>6299.251455656251</v>
      </c>
      <c r="O27" s="65" t="e">
        <f>P27/7</f>
        <v>#REF!</v>
      </c>
      <c r="P27" s="65" t="e">
        <f>IF(AND(#REF!="",#REF!=""),L27+#REF!,Matrices!L27+Matrices!Q27+R27+#REF!)</f>
        <v>#REF!</v>
      </c>
      <c r="Q27" s="66" t="e">
        <f>IF(#REF!&gt;5,(#REF!+#REF!)/#REF!,0)</f>
        <v>#REF!</v>
      </c>
      <c r="R27" s="64" t="e">
        <f>IF(#REF!&gt;5,#REF!/#REF!,0)</f>
        <v>#REF!</v>
      </c>
      <c r="S27" s="67" t="e">
        <f t="shared" si="6"/>
        <v>#REF!</v>
      </c>
      <c r="T27" s="68" t="e">
        <f t="shared" si="6"/>
        <v>#REF!</v>
      </c>
      <c r="Z27" s="34"/>
      <c r="AA27" s="48"/>
    </row>
    <row r="28" spans="1:28" x14ac:dyDescent="0.25">
      <c r="A28" s="2">
        <v>7</v>
      </c>
      <c r="B28" s="59" t="s">
        <v>89</v>
      </c>
      <c r="C28" s="60">
        <f>C27*(1+'💰 Financement 1'!$R$46)</f>
        <v>0.17729465325468755</v>
      </c>
      <c r="D28" s="61">
        <f t="shared" si="0"/>
        <v>0.40710042265625035</v>
      </c>
      <c r="E28" s="60">
        <f>E27*(1+'💰 Financement 1'!$T$46)</f>
        <v>0.17729465325468755</v>
      </c>
      <c r="F28" s="63">
        <f t="shared" si="1"/>
        <v>0.40710042265625035</v>
      </c>
      <c r="G28" s="606">
        <f>'💰 Financement 1'!$R$43*C28+'💰 Financement 1'!$R$47</f>
        <v>3695.8930650937509</v>
      </c>
      <c r="H28" s="606">
        <f>I28/8</f>
        <v>3157.9692958710939</v>
      </c>
      <c r="I28" s="607">
        <f t="shared" si="3"/>
        <v>25263.754366968751</v>
      </c>
      <c r="J28" s="607">
        <f>'💰 Financement 1'!$T$43*Matrices!E28+'💰 Financement 1'!$T$47</f>
        <v>2454.8304923109381</v>
      </c>
      <c r="K28" s="607">
        <f>IF(12*A28&lt;'💰 Financement 1'!$J$45,12*'💰 Financement 1'!$J$47,0)</f>
        <v>1724.1566666666665</v>
      </c>
      <c r="L28" s="607">
        <f t="shared" si="4"/>
        <v>31516.69367186302</v>
      </c>
      <c r="M28" s="62">
        <f t="shared" si="2"/>
        <v>1241.0625727828128</v>
      </c>
      <c r="N28" s="64">
        <f t="shared" si="5"/>
        <v>7540.3140284390638</v>
      </c>
      <c r="O28" s="65" t="e">
        <f>P28/8</f>
        <v>#REF!</v>
      </c>
      <c r="P28" s="65" t="e">
        <f>IF(AND(#REF!="",#REF!=""),L28+#REF!,Matrices!L28+Matrices!Q28+R28+#REF!)</f>
        <v>#REF!</v>
      </c>
      <c r="Q28" s="66" t="e">
        <f>IF(#REF!&gt;6,(#REF!+#REF!)/#REF!,0)</f>
        <v>#REF!</v>
      </c>
      <c r="R28" s="64" t="e">
        <f>IF(#REF!&gt;6,#REF!/#REF!,0)</f>
        <v>#REF!</v>
      </c>
      <c r="S28" s="67" t="e">
        <f t="shared" si="6"/>
        <v>#REF!</v>
      </c>
      <c r="T28" s="68" t="e">
        <f t="shared" si="6"/>
        <v>#REF!</v>
      </c>
      <c r="Z28" s="34"/>
      <c r="AA28" s="48"/>
    </row>
    <row r="29" spans="1:28" x14ac:dyDescent="0.25">
      <c r="A29" s="2">
        <v>8</v>
      </c>
      <c r="B29" s="59" t="s">
        <v>90</v>
      </c>
      <c r="C29" s="60">
        <f>C28*(1+'💰 Financement 1'!$R$46)</f>
        <v>0.18615938591742193</v>
      </c>
      <c r="D29" s="61">
        <f t="shared" si="0"/>
        <v>0.47745544378906291</v>
      </c>
      <c r="E29" s="60">
        <f>E28*(1+'💰 Financement 1'!$T$46)</f>
        <v>0.18615938591742193</v>
      </c>
      <c r="F29" s="63">
        <f t="shared" si="1"/>
        <v>0.47745544378906291</v>
      </c>
      <c r="G29" s="606">
        <f>'💰 Financement 1'!$R$43*C29+'💰 Financement 1'!$R$47</f>
        <v>3873.1877183484385</v>
      </c>
      <c r="H29" s="606">
        <f>I29/9</f>
        <v>3237.4380094796879</v>
      </c>
      <c r="I29" s="607">
        <f t="shared" si="3"/>
        <v>29136.942085317191</v>
      </c>
      <c r="J29" s="607">
        <f>'💰 Financement 1'!$T$43*Matrices!E29+'💰 Financement 1'!$T$47</f>
        <v>2570.072016926485</v>
      </c>
      <c r="K29" s="607">
        <f>IF(12*A29&lt;'💰 Financement 1'!$J$45,12*'💰 Financement 1'!$J$47,0)</f>
        <v>1724.1566666666665</v>
      </c>
      <c r="L29" s="607">
        <f t="shared" si="4"/>
        <v>35810.922355456176</v>
      </c>
      <c r="M29" s="62">
        <f t="shared" si="2"/>
        <v>1303.1157014219534</v>
      </c>
      <c r="N29" s="64">
        <f t="shared" si="5"/>
        <v>8843.4297298610181</v>
      </c>
      <c r="O29" s="65" t="e">
        <f>P29/9</f>
        <v>#REF!</v>
      </c>
      <c r="P29" s="65" t="e">
        <f>IF(AND(#REF!="",#REF!=""),L29+#REF!,Matrices!L29+Matrices!Q29+R29+#REF!)</f>
        <v>#REF!</v>
      </c>
      <c r="Q29" s="66" t="e">
        <f>IF(#REF!&gt;7,(#REF!+#REF!)/#REF!,0)</f>
        <v>#REF!</v>
      </c>
      <c r="R29" s="64" t="e">
        <f>IF(#REF!&gt;7,#REF!/#REF!,0)</f>
        <v>#REF!</v>
      </c>
      <c r="S29" s="67" t="e">
        <f t="shared" si="6"/>
        <v>#REF!</v>
      </c>
      <c r="T29" s="68" t="e">
        <f t="shared" si="6"/>
        <v>#REF!</v>
      </c>
      <c r="Z29" s="34"/>
      <c r="AA29" s="48"/>
    </row>
    <row r="30" spans="1:28" x14ac:dyDescent="0.25">
      <c r="A30" s="2">
        <v>9</v>
      </c>
      <c r="B30" s="59" t="s">
        <v>91</v>
      </c>
      <c r="C30" s="60">
        <f>C29*(1+'💰 Financement 1'!$R$46)</f>
        <v>0.19546735521329303</v>
      </c>
      <c r="D30" s="61">
        <f t="shared" si="0"/>
        <v>0.55132821597851611</v>
      </c>
      <c r="E30" s="60">
        <f>E29*(1+'💰 Financement 1'!$T$46)</f>
        <v>0.19546735521329303</v>
      </c>
      <c r="F30" s="63">
        <f t="shared" si="1"/>
        <v>0.55132821597851611</v>
      </c>
      <c r="G30" s="606">
        <f>'💰 Financement 1'!$R$43*C30+'💰 Financement 1'!$R$47</f>
        <v>4059.3471042658607</v>
      </c>
      <c r="H30" s="606">
        <f>I30/10</f>
        <v>3319.6289189583053</v>
      </c>
      <c r="I30" s="607">
        <f t="shared" si="3"/>
        <v>33196.289189583054</v>
      </c>
      <c r="J30" s="607">
        <f>'💰 Financement 1'!$T$43*Matrices!E30+'💰 Financement 1'!$T$47</f>
        <v>2691.0756177728094</v>
      </c>
      <c r="K30" s="607">
        <f>IF(12*A30&lt;'💰 Financement 1'!$J$45,12*'💰 Financement 1'!$J$47,0)</f>
        <v>1724.1566666666665</v>
      </c>
      <c r="L30" s="607">
        <f t="shared" si="4"/>
        <v>40226.154639895656</v>
      </c>
      <c r="M30" s="62">
        <f t="shared" si="2"/>
        <v>1368.2714864930513</v>
      </c>
      <c r="N30" s="64">
        <f t="shared" si="5"/>
        <v>10211.701216354069</v>
      </c>
      <c r="O30" s="65" t="e">
        <f>P30/10</f>
        <v>#REF!</v>
      </c>
      <c r="P30" s="65" t="e">
        <f>IF(AND(#REF!="",#REF!=""),L30+#REF!,Matrices!L30+Matrices!Q30+R30+#REF!)</f>
        <v>#REF!</v>
      </c>
      <c r="Q30" s="66" t="e">
        <f>IF(#REF!&gt;8,(#REF!+#REF!)/#REF!,0)</f>
        <v>#REF!</v>
      </c>
      <c r="R30" s="64" t="e">
        <f>IF(#REF!&gt;8,#REF!/#REF!,0)</f>
        <v>#REF!</v>
      </c>
      <c r="S30" s="67" t="e">
        <f t="shared" si="6"/>
        <v>#REF!</v>
      </c>
      <c r="T30" s="68" t="e">
        <f t="shared" si="6"/>
        <v>#REF!</v>
      </c>
      <c r="Z30" s="34"/>
      <c r="AA30" s="48"/>
    </row>
    <row r="31" spans="1:28" x14ac:dyDescent="0.25">
      <c r="A31" s="2">
        <v>10</v>
      </c>
      <c r="B31" s="69" t="s">
        <v>92</v>
      </c>
      <c r="C31" s="70">
        <f>C30*(1+'💰 Financement 1'!$R$46)</f>
        <v>0.20524072297395768</v>
      </c>
      <c r="D31" s="71">
        <f t="shared" si="0"/>
        <v>0.6288946267774419</v>
      </c>
      <c r="E31" s="70">
        <f>E30*(1+'💰 Financement 1'!$T$46)</f>
        <v>0.20524072297395768</v>
      </c>
      <c r="F31" s="73">
        <f t="shared" si="1"/>
        <v>0.6288946267774419</v>
      </c>
      <c r="G31" s="608">
        <f>'💰 Financement 1'!$R$43*C31+'💰 Financement 1'!$R$47</f>
        <v>4254.8144594791538</v>
      </c>
      <c r="H31" s="608">
        <f>I31/11</f>
        <v>3404.6457862783823</v>
      </c>
      <c r="I31" s="609">
        <f t="shared" si="3"/>
        <v>37451.103649062206</v>
      </c>
      <c r="J31" s="609">
        <f>'💰 Financement 1'!$T$43*Matrices!E31+'💰 Financement 1'!$T$47</f>
        <v>2818.1293986614496</v>
      </c>
      <c r="K31" s="609">
        <f>IF(12*A31&lt;'💰 Financement 1'!$J$45,12*'💰 Financement 1'!$J$47,0)</f>
        <v>1724.1566666666665</v>
      </c>
      <c r="L31" s="609">
        <f t="shared" si="4"/>
        <v>44768.440705223773</v>
      </c>
      <c r="M31" s="72">
        <f t="shared" si="2"/>
        <v>1436.6850608177042</v>
      </c>
      <c r="N31" s="75">
        <f t="shared" si="5"/>
        <v>11648.386277171774</v>
      </c>
      <c r="O31" s="74" t="e">
        <f>P31/11</f>
        <v>#REF!</v>
      </c>
      <c r="P31" s="74" t="e">
        <f>IF(AND(#REF!="",#REF!=""),L31+#REF!,Matrices!L31+Matrices!Q31+R31+#REF!)</f>
        <v>#REF!</v>
      </c>
      <c r="Q31" s="76" t="e">
        <f>IF(#REF!&gt;9,(#REF!+#REF!)/#REF!,0)</f>
        <v>#REF!</v>
      </c>
      <c r="R31" s="75" t="e">
        <f>IF(#REF!&gt;9,#REF!/#REF!,0)</f>
        <v>#REF!</v>
      </c>
      <c r="S31" s="67" t="e">
        <f t="shared" si="6"/>
        <v>#REF!</v>
      </c>
      <c r="T31" s="68" t="e">
        <f t="shared" si="6"/>
        <v>#REF!</v>
      </c>
      <c r="Z31" s="34"/>
      <c r="AA31" s="48"/>
    </row>
    <row r="32" spans="1:28" x14ac:dyDescent="0.25">
      <c r="A32" s="2">
        <v>11</v>
      </c>
      <c r="B32" s="59" t="s">
        <v>93</v>
      </c>
      <c r="C32" s="60">
        <f>C31*(1+'💰 Financement 1'!$R$46)</f>
        <v>0.21550275912265557</v>
      </c>
      <c r="D32" s="61">
        <f t="shared" si="0"/>
        <v>0.71033935811631399</v>
      </c>
      <c r="E32" s="60">
        <f>E31*(1+'💰 Financement 1'!$T$46)</f>
        <v>0.21550275912265557</v>
      </c>
      <c r="F32" s="63">
        <f t="shared" si="1"/>
        <v>0.71033935811631399</v>
      </c>
      <c r="G32" s="606">
        <f>'💰 Financement 1'!$R$43*C32+'💰 Financement 1'!$R$47</f>
        <v>4460.0551824531112</v>
      </c>
      <c r="H32" s="606">
        <f>I32/12</f>
        <v>3492.5965692929435</v>
      </c>
      <c r="I32" s="607">
        <f t="shared" si="3"/>
        <v>41911.15883151532</v>
      </c>
      <c r="J32" s="607">
        <f>'💰 Financement 1'!$T$43*Matrices!E32+'💰 Financement 1'!$T$47</f>
        <v>2951.5358685945225</v>
      </c>
      <c r="K32" s="607">
        <f>IF(12*A32&lt;'💰 Financement 1'!$J$45,12*'💰 Financement 1'!$J$47,0)</f>
        <v>1724.1566666666665</v>
      </c>
      <c r="L32" s="607">
        <f t="shared" si="4"/>
        <v>49444.133240484967</v>
      </c>
      <c r="M32" s="62">
        <f t="shared" si="2"/>
        <v>1508.5193138585887</v>
      </c>
      <c r="N32" s="64">
        <f t="shared" si="5"/>
        <v>13156.905591030363</v>
      </c>
      <c r="O32" s="65" t="e">
        <f>P32/12</f>
        <v>#REF!</v>
      </c>
      <c r="P32" s="65" t="e">
        <f>IF(AND(#REF!="",#REF!=""),L32+#REF!,Matrices!L32+Matrices!Q32+R32+#REF!)</f>
        <v>#REF!</v>
      </c>
      <c r="Q32" s="66" t="e">
        <f>IF(#REF!&gt;10,(#REF!+#REF!)/#REF!,0)</f>
        <v>#REF!</v>
      </c>
      <c r="R32" s="64" t="e">
        <f>IF(#REF!&gt;10,#REF!/#REF!,0)</f>
        <v>#REF!</v>
      </c>
      <c r="S32" s="67" t="e">
        <f t="shared" si="6"/>
        <v>#REF!</v>
      </c>
      <c r="T32" s="68" t="e">
        <f t="shared" si="6"/>
        <v>#REF!</v>
      </c>
      <c r="Z32" s="34"/>
      <c r="AA32" s="48"/>
    </row>
    <row r="33" spans="1:27" x14ac:dyDescent="0.25">
      <c r="A33" s="2">
        <v>12</v>
      </c>
      <c r="B33" s="59" t="s">
        <v>94</v>
      </c>
      <c r="C33" s="60">
        <f>C32*(1+'💰 Financement 1'!$R$46)</f>
        <v>0.22627789707878834</v>
      </c>
      <c r="D33" s="61">
        <f t="shared" si="0"/>
        <v>0.79585632602212975</v>
      </c>
      <c r="E33" s="60">
        <f>E32*(1+'💰 Financement 1'!$T$46)</f>
        <v>0.22627789707878834</v>
      </c>
      <c r="F33" s="63">
        <f t="shared" si="1"/>
        <v>0.79585632602212975</v>
      </c>
      <c r="G33" s="606">
        <f>'💰 Financement 1'!$R$43*C33+'💰 Financement 1'!$R$47</f>
        <v>4675.5579415757666</v>
      </c>
      <c r="H33" s="606">
        <f>I33/13</f>
        <v>3583.5935979300839</v>
      </c>
      <c r="I33" s="607">
        <f t="shared" si="3"/>
        <v>46586.716773091088</v>
      </c>
      <c r="J33" s="607">
        <f>'💰 Financement 1'!$T$43*Matrices!E33+'💰 Financement 1'!$T$47</f>
        <v>3091.6126620242485</v>
      </c>
      <c r="K33" s="607">
        <f>IF(12*A33&lt;'💰 Financement 1'!$J$45,12*'💰 Financement 1'!$J$47,0)</f>
        <v>1724.1566666666665</v>
      </c>
      <c r="L33" s="607">
        <f t="shared" si="4"/>
        <v>54259.902569175887</v>
      </c>
      <c r="M33" s="62">
        <f t="shared" si="2"/>
        <v>1583.9452795515181</v>
      </c>
      <c r="N33" s="64">
        <f t="shared" si="5"/>
        <v>14740.850870581882</v>
      </c>
      <c r="O33" s="65" t="e">
        <f>P33/13</f>
        <v>#REF!</v>
      </c>
      <c r="P33" s="65" t="e">
        <f>IF(AND(#REF!="",#REF!=""),L33+#REF!,Matrices!L33+Matrices!Q33+R33+#REF!)</f>
        <v>#REF!</v>
      </c>
      <c r="Q33" s="66" t="e">
        <f>IF(#REF!&gt;11,(#REF!+#REF!)/#REF!,0)</f>
        <v>#REF!</v>
      </c>
      <c r="R33" s="64" t="e">
        <f>IF(#REF!&gt;11,#REF!/#REF!,0)</f>
        <v>#REF!</v>
      </c>
      <c r="S33" s="67" t="e">
        <f t="shared" si="6"/>
        <v>#REF!</v>
      </c>
      <c r="T33" s="68" t="e">
        <f t="shared" si="6"/>
        <v>#REF!</v>
      </c>
      <c r="Z33" s="34"/>
      <c r="AA33" s="48"/>
    </row>
    <row r="34" spans="1:27" x14ac:dyDescent="0.25">
      <c r="A34" s="2">
        <v>13</v>
      </c>
      <c r="B34" s="59" t="s">
        <v>95</v>
      </c>
      <c r="C34" s="60">
        <f>C33*(1+'💰 Financement 1'!$R$46)</f>
        <v>0.23759179193272778</v>
      </c>
      <c r="D34" s="61">
        <f t="shared" si="0"/>
        <v>0.88564914232323633</v>
      </c>
      <c r="E34" s="60">
        <f>E33*(1+'💰 Financement 1'!$T$46)</f>
        <v>0.23759179193272778</v>
      </c>
      <c r="F34" s="63">
        <f t="shared" si="1"/>
        <v>0.88564914232323633</v>
      </c>
      <c r="G34" s="606">
        <f>'💰 Financement 1'!$R$43*C34+'💰 Financement 1'!$R$47</f>
        <v>4901.835838654556</v>
      </c>
      <c r="H34" s="606">
        <f>I34/14</f>
        <v>3677.7537579818318</v>
      </c>
      <c r="I34" s="607">
        <f t="shared" si="3"/>
        <v>51488.552611745647</v>
      </c>
      <c r="J34" s="607">
        <f>'💰 Financement 1'!$T$43*Matrices!E34+'💰 Financement 1'!$T$47</f>
        <v>3238.6932951254612</v>
      </c>
      <c r="K34" s="607">
        <f>IF(12*A34&lt;'💰 Financement 1'!$J$45,12*'💰 Financement 1'!$J$47,0)</f>
        <v>1724.1566666666665</v>
      </c>
      <c r="L34" s="607">
        <f t="shared" si="4"/>
        <v>59222.75253096802</v>
      </c>
      <c r="M34" s="62">
        <f t="shared" si="2"/>
        <v>1663.1425435290948</v>
      </c>
      <c r="N34" s="64">
        <f t="shared" si="5"/>
        <v>16403.993414110977</v>
      </c>
      <c r="O34" s="65" t="e">
        <f>P34/14</f>
        <v>#REF!</v>
      </c>
      <c r="P34" s="65" t="e">
        <f>IF(AND(#REF!="",#REF!=""),L34+#REF!,Matrices!L34+Matrices!Q34+R34+#REF!)</f>
        <v>#REF!</v>
      </c>
      <c r="Q34" s="66" t="e">
        <f>IF(#REF!&gt;12,(#REF!+#REF!)/#REF!,0)</f>
        <v>#REF!</v>
      </c>
      <c r="R34" s="64" t="e">
        <f>IF(#REF!&gt;12,#REF!/#REF!,0)</f>
        <v>#REF!</v>
      </c>
      <c r="S34" s="67" t="e">
        <f t="shared" si="6"/>
        <v>#REF!</v>
      </c>
      <c r="T34" s="68" t="e">
        <f t="shared" si="6"/>
        <v>#REF!</v>
      </c>
      <c r="Z34" s="34"/>
      <c r="AA34" s="48"/>
    </row>
    <row r="35" spans="1:27" x14ac:dyDescent="0.25">
      <c r="A35" s="2">
        <v>14</v>
      </c>
      <c r="B35" s="59" t="s">
        <v>96</v>
      </c>
      <c r="C35" s="60">
        <f>C34*(1+'💰 Financement 1'!$R$46)</f>
        <v>0.24947138152936418</v>
      </c>
      <c r="D35" s="61">
        <f t="shared" si="0"/>
        <v>0.97993159943939823</v>
      </c>
      <c r="E35" s="60">
        <f>E34*(1+'💰 Financement 1'!$T$46)</f>
        <v>0.24947138152936418</v>
      </c>
      <c r="F35" s="63">
        <f t="shared" si="1"/>
        <v>0.97993159943939823</v>
      </c>
      <c r="G35" s="606">
        <f>'💰 Financement 1'!$R$43*C35+'💰 Financement 1'!$R$47</f>
        <v>5139.4276305872836</v>
      </c>
      <c r="H35" s="606">
        <f>I35/15</f>
        <v>3775.1986828221952</v>
      </c>
      <c r="I35" s="607">
        <f t="shared" si="3"/>
        <v>56627.980242332931</v>
      </c>
      <c r="J35" s="607">
        <f>'💰 Financement 1'!$T$43*Matrices!E35+'💰 Financement 1'!$T$47</f>
        <v>3393.1279598817346</v>
      </c>
      <c r="K35" s="607">
        <f>IF(12*A35&lt;'💰 Financement 1'!$J$45,12*'💰 Financement 1'!$J$47,0)</f>
        <v>1724.1566666666665</v>
      </c>
      <c r="L35" s="607">
        <f t="shared" si="4"/>
        <v>64340.037157516424</v>
      </c>
      <c r="M35" s="62">
        <f t="shared" si="2"/>
        <v>1746.299670705549</v>
      </c>
      <c r="N35" s="64">
        <f t="shared" si="5"/>
        <v>18150.293084816527</v>
      </c>
      <c r="O35" s="65" t="e">
        <f>P35/15</f>
        <v>#REF!</v>
      </c>
      <c r="P35" s="65" t="e">
        <f>IF(AND(#REF!="",#REF!=""),L35+#REF!,Matrices!L35+Matrices!Q35+R35+#REF!)</f>
        <v>#REF!</v>
      </c>
      <c r="Q35" s="66" t="e">
        <f>IF(#REF!&gt;13,(#REF!+#REF!)/#REF!,0)</f>
        <v>#REF!</v>
      </c>
      <c r="R35" s="64" t="e">
        <f>IF(#REF!&gt;13,#REF!/#REF!,0)</f>
        <v>#REF!</v>
      </c>
      <c r="S35" s="67" t="e">
        <f t="shared" si="6"/>
        <v>#REF!</v>
      </c>
      <c r="T35" s="68" t="e">
        <f t="shared" si="6"/>
        <v>#REF!</v>
      </c>
      <c r="Z35" s="34"/>
      <c r="AA35" s="48"/>
    </row>
    <row r="36" spans="1:27" x14ac:dyDescent="0.25">
      <c r="A36" s="2">
        <v>15</v>
      </c>
      <c r="B36" s="59" t="s">
        <v>97</v>
      </c>
      <c r="C36" s="60">
        <f>C35*(1+'💰 Financement 1'!$R$46)</f>
        <v>0.26194495060583239</v>
      </c>
      <c r="D36" s="61">
        <f t="shared" si="0"/>
        <v>1.0789281794113681</v>
      </c>
      <c r="E36" s="60">
        <f>E35*(1+'💰 Financement 1'!$T$46)</f>
        <v>0.26194495060583239</v>
      </c>
      <c r="F36" s="63">
        <f t="shared" si="1"/>
        <v>1.0789281794113681</v>
      </c>
      <c r="G36" s="606">
        <f>'💰 Financement 1'!$R$43*C36+'💰 Financement 1'!$R$47</f>
        <v>5388.899012116648</v>
      </c>
      <c r="H36" s="606">
        <f>I36/16</f>
        <v>3876.0549534030988</v>
      </c>
      <c r="I36" s="607">
        <f t="shared" si="3"/>
        <v>62016.879254449581</v>
      </c>
      <c r="J36" s="607">
        <f>'💰 Financement 1'!$T$43*Matrices!E36+'💰 Financement 1'!$T$47</f>
        <v>3555.2843578758211</v>
      </c>
      <c r="K36" s="607">
        <f>IF(12*A36&lt;'💰 Financement 1'!$J$45,12*'💰 Financement 1'!$J$47,0)</f>
        <v>0</v>
      </c>
      <c r="L36" s="607">
        <f t="shared" si="4"/>
        <v>67895.32151539225</v>
      </c>
      <c r="M36" s="62">
        <f t="shared" si="2"/>
        <v>1833.6146542408269</v>
      </c>
      <c r="N36" s="64">
        <f t="shared" si="5"/>
        <v>19983.907739057355</v>
      </c>
      <c r="O36" s="65" t="e">
        <f>P36/16</f>
        <v>#REF!</v>
      </c>
      <c r="P36" s="65" t="e">
        <f>IF(AND(#REF!="",#REF!=""),L36+#REF!,Matrices!L36+Matrices!Q36+R36+#REF!)</f>
        <v>#REF!</v>
      </c>
      <c r="Q36" s="66" t="e">
        <f>IF(#REF!&gt;14,(#REF!+#REF!)/#REF!,0)</f>
        <v>#REF!</v>
      </c>
      <c r="R36" s="64" t="e">
        <f>IF(#REF!&gt;14,#REF!/#REF!,0)</f>
        <v>#REF!</v>
      </c>
      <c r="S36" s="67" t="e">
        <f t="shared" si="6"/>
        <v>#REF!</v>
      </c>
      <c r="T36" s="68" t="e">
        <f t="shared" si="6"/>
        <v>#REF!</v>
      </c>
      <c r="Z36" s="34"/>
      <c r="AA36" s="48"/>
    </row>
    <row r="37" spans="1:27" x14ac:dyDescent="0.25">
      <c r="A37" s="2">
        <v>16</v>
      </c>
      <c r="B37" s="59" t="s">
        <v>98</v>
      </c>
      <c r="C37" s="60">
        <f>C36*(1+'💰 Financement 1'!$R$46)</f>
        <v>0.27504219813612402</v>
      </c>
      <c r="D37" s="61">
        <f t="shared" si="0"/>
        <v>1.1828745883819367</v>
      </c>
      <c r="E37" s="60">
        <f>E36*(1+'💰 Financement 1'!$T$46)</f>
        <v>0.27504219813612402</v>
      </c>
      <c r="F37" s="63">
        <f t="shared" si="1"/>
        <v>1.1828745883819367</v>
      </c>
      <c r="G37" s="606">
        <f>'💰 Financement 1'!$R$43*C37+'💰 Financement 1'!$R$47</f>
        <v>5650.8439627224807</v>
      </c>
      <c r="H37" s="606">
        <f>I37/17</f>
        <v>3980.4543068924745</v>
      </c>
      <c r="I37" s="607">
        <f t="shared" si="3"/>
        <v>67667.723217172068</v>
      </c>
      <c r="J37" s="607">
        <f>'💰 Financement 1'!$T$43*Matrices!E37+'💰 Financement 1'!$T$47</f>
        <v>3725.5485757696124</v>
      </c>
      <c r="K37" s="607">
        <f>IF(12*A37&lt;'💰 Financement 1'!$J$45,12*'💰 Financement 1'!$J$47,0)</f>
        <v>0</v>
      </c>
      <c r="L37" s="607">
        <f t="shared" si="4"/>
        <v>71620.870091161865</v>
      </c>
      <c r="M37" s="62">
        <f t="shared" si="2"/>
        <v>1925.2953869528683</v>
      </c>
      <c r="N37" s="64">
        <f t="shared" si="5"/>
        <v>21909.203126010223</v>
      </c>
      <c r="O37" s="65" t="e">
        <f>P37/17</f>
        <v>#REF!</v>
      </c>
      <c r="P37" s="65" t="e">
        <f>IF(AND(#REF!="",#REF!=""),L37+#REF!,Matrices!L37+Matrices!Q37+R37+#REF!)</f>
        <v>#REF!</v>
      </c>
      <c r="Q37" s="66" t="e">
        <f>IF(#REF!&gt;15,(#REF!+#REF!)/#REF!,0)</f>
        <v>#REF!</v>
      </c>
      <c r="R37" s="64" t="e">
        <f>IF(#REF!&gt;15,#REF!/#REF!,0)</f>
        <v>#REF!</v>
      </c>
      <c r="S37" s="67" t="e">
        <f t="shared" si="6"/>
        <v>#REF!</v>
      </c>
      <c r="T37" s="68" t="e">
        <f t="shared" si="6"/>
        <v>#REF!</v>
      </c>
      <c r="Z37" s="34"/>
      <c r="AA37" s="48"/>
    </row>
    <row r="38" spans="1:27" x14ac:dyDescent="0.25">
      <c r="A38" s="2">
        <v>17</v>
      </c>
      <c r="B38" s="59" t="s">
        <v>99</v>
      </c>
      <c r="C38" s="60">
        <f>C37*(1+'💰 Financement 1'!$R$46)</f>
        <v>0.28879430804293021</v>
      </c>
      <c r="D38" s="61">
        <f t="shared" si="0"/>
        <v>1.2920183178010334</v>
      </c>
      <c r="E38" s="60">
        <f>E37*(1+'💰 Financement 1'!$T$46)</f>
        <v>0.28879430804293021</v>
      </c>
      <c r="F38" s="63">
        <f t="shared" si="1"/>
        <v>1.2920183178010334</v>
      </c>
      <c r="G38" s="606">
        <f>'💰 Financement 1'!$R$43*C38+'💰 Financement 1'!$R$47</f>
        <v>5925.8861608586039</v>
      </c>
      <c r="H38" s="606">
        <f>I38/18</f>
        <v>4088.5338543350372</v>
      </c>
      <c r="I38" s="607">
        <f t="shared" si="3"/>
        <v>73593.609378030669</v>
      </c>
      <c r="J38" s="607">
        <f>'💰 Financement 1'!$T$43*Matrices!E38+'💰 Financement 1'!$T$47</f>
        <v>3904.3260045580928</v>
      </c>
      <c r="K38" s="607">
        <f>IF(12*A38&lt;'💰 Financement 1'!$J$45,12*'💰 Financement 1'!$J$47,0)</f>
        <v>0</v>
      </c>
      <c r="L38" s="607">
        <f t="shared" si="4"/>
        <v>75525.196095719963</v>
      </c>
      <c r="M38" s="62">
        <f t="shared" si="2"/>
        <v>2021.5601563005112</v>
      </c>
      <c r="N38" s="64">
        <f t="shared" si="5"/>
        <v>23930.763282310734</v>
      </c>
      <c r="O38" s="65" t="e">
        <f>P38/18</f>
        <v>#REF!</v>
      </c>
      <c r="P38" s="65" t="e">
        <f>IF(AND(#REF!="",#REF!=""),L38+#REF!,Matrices!L38+Matrices!Q38+R38+#REF!)</f>
        <v>#REF!</v>
      </c>
      <c r="Q38" s="66" t="e">
        <f>IF(#REF!&gt;16,(#REF!+#REF!)/#REF!,0)</f>
        <v>#REF!</v>
      </c>
      <c r="R38" s="64" t="e">
        <f>IF(#REF!&gt;16,#REF!/#REF!,0)</f>
        <v>#REF!</v>
      </c>
      <c r="S38" s="67" t="e">
        <f t="shared" si="6"/>
        <v>#REF!</v>
      </c>
      <c r="T38" s="68" t="e">
        <f t="shared" si="6"/>
        <v>#REF!</v>
      </c>
      <c r="Z38" s="34"/>
      <c r="AA38" s="48"/>
    </row>
    <row r="39" spans="1:27" x14ac:dyDescent="0.25">
      <c r="A39" s="2">
        <v>18</v>
      </c>
      <c r="B39" s="59" t="s">
        <v>100</v>
      </c>
      <c r="C39" s="60">
        <f>C38*(1+'💰 Financement 1'!$R$46)</f>
        <v>0.30323402344507672</v>
      </c>
      <c r="D39" s="61">
        <f t="shared" si="0"/>
        <v>1.406619233691085</v>
      </c>
      <c r="E39" s="60">
        <f>E38*(1+'💰 Financement 1'!$T$46)</f>
        <v>0.30323402344507672</v>
      </c>
      <c r="F39" s="63">
        <f t="shared" si="1"/>
        <v>1.406619233691085</v>
      </c>
      <c r="G39" s="606">
        <f>'💰 Financement 1'!$R$43*C39+'💰 Financement 1'!$R$47</f>
        <v>6214.6804689015344</v>
      </c>
      <c r="H39" s="606">
        <f>I39/19</f>
        <v>4200.4363077332746</v>
      </c>
      <c r="I39" s="607">
        <f t="shared" si="3"/>
        <v>79808.28984693221</v>
      </c>
      <c r="J39" s="607">
        <f>'💰 Financement 1'!$T$43*Matrices!E39+'💰 Financement 1'!$T$47</f>
        <v>4092.0423047859972</v>
      </c>
      <c r="K39" s="607">
        <f>IF(12*A39&lt;'💰 Financement 1'!$J$45,12*'💰 Financement 1'!$J$47,0)</f>
        <v>0</v>
      </c>
      <c r="L39" s="607">
        <f t="shared" si="4"/>
        <v>79617.238400505958</v>
      </c>
      <c r="M39" s="62">
        <f t="shared" si="2"/>
        <v>2122.6381641155372</v>
      </c>
      <c r="N39" s="64">
        <f t="shared" si="5"/>
        <v>26053.401446426273</v>
      </c>
      <c r="O39" s="65" t="e">
        <f>P39/19</f>
        <v>#REF!</v>
      </c>
      <c r="P39" s="65" t="e">
        <f>IF(AND(#REF!="",#REF!=""),L39+#REF!,Matrices!L39+Matrices!Q39+R39+#REF!)</f>
        <v>#REF!</v>
      </c>
      <c r="Q39" s="66" t="e">
        <f>IF(#REF!&gt;17,(#REF!+#REF!)/#REF!,0)</f>
        <v>#REF!</v>
      </c>
      <c r="R39" s="64" t="e">
        <f>IF(#REF!&gt;17,#REF!/#REF!,0)</f>
        <v>#REF!</v>
      </c>
      <c r="S39" s="67" t="e">
        <f t="shared" ref="S39:T41" si="7">S38</f>
        <v>#REF!</v>
      </c>
      <c r="T39" s="68" t="e">
        <f t="shared" si="7"/>
        <v>#REF!</v>
      </c>
      <c r="Z39" s="34"/>
      <c r="AA39" s="48"/>
    </row>
    <row r="40" spans="1:27" x14ac:dyDescent="0.25">
      <c r="A40" s="2">
        <v>19</v>
      </c>
      <c r="B40" s="59" t="s">
        <v>101</v>
      </c>
      <c r="C40" s="60">
        <f>C39*(1+'💰 Financement 1'!$R$46)</f>
        <v>0.31839572461733057</v>
      </c>
      <c r="D40" s="61">
        <f t="shared" si="0"/>
        <v>1.5269501953756395</v>
      </c>
      <c r="E40" s="60">
        <f>E39*(1+'💰 Financement 1'!$T$46)</f>
        <v>0.31839572461733057</v>
      </c>
      <c r="F40" s="63">
        <f t="shared" si="1"/>
        <v>1.5269501953756395</v>
      </c>
      <c r="G40" s="606">
        <f>'💰 Financement 1'!$R$43*C40+'💰 Financement 1'!$R$47</f>
        <v>6517.914492346611</v>
      </c>
      <c r="H40" s="606">
        <f>I40/20</f>
        <v>4316.3102169639405</v>
      </c>
      <c r="I40" s="607">
        <f t="shared" si="3"/>
        <v>86326.204339278818</v>
      </c>
      <c r="J40" s="607">
        <f>'💰 Financement 1'!$T$43*Matrices!E40+'💰 Financement 1'!$T$47</f>
        <v>4289.1444200252972</v>
      </c>
      <c r="K40" s="607">
        <f>IF(12*A40&lt;'💰 Financement 1'!$J$45,12*'💰 Financement 1'!$J$47,0)</f>
        <v>0</v>
      </c>
      <c r="L40" s="607">
        <f t="shared" si="4"/>
        <v>83906.38282053126</v>
      </c>
      <c r="M40" s="62">
        <f t="shared" si="2"/>
        <v>2228.7700723213138</v>
      </c>
      <c r="N40" s="64">
        <f t="shared" si="5"/>
        <v>28282.171518747586</v>
      </c>
      <c r="O40" s="65" t="e">
        <f>P40/20</f>
        <v>#REF!</v>
      </c>
      <c r="P40" s="65" t="e">
        <f>IF(AND(#REF!="",#REF!=""),L40+#REF!,Matrices!L40+Matrices!Q40+R40+#REF!)</f>
        <v>#REF!</v>
      </c>
      <c r="Q40" s="66" t="e">
        <f>IF(#REF!&gt;18,(#REF!+#REF!)/#REF!,0)</f>
        <v>#REF!</v>
      </c>
      <c r="R40" s="64" t="e">
        <f>IF(#REF!&gt;18,#REF!/#REF!,0)</f>
        <v>#REF!</v>
      </c>
      <c r="S40" s="67" t="e">
        <f t="shared" si="7"/>
        <v>#REF!</v>
      </c>
      <c r="T40" s="68" t="e">
        <f t="shared" si="7"/>
        <v>#REF!</v>
      </c>
      <c r="Z40" s="34"/>
      <c r="AA40" s="48"/>
    </row>
    <row r="41" spans="1:27" ht="15.75" thickBot="1" x14ac:dyDescent="0.3">
      <c r="A41" s="2">
        <v>20</v>
      </c>
      <c r="B41" s="77" t="s">
        <v>102</v>
      </c>
      <c r="C41" s="70">
        <f>C40*(1+'💰 Financement 1'!$R$46)</f>
        <v>0.33431551084819711</v>
      </c>
      <c r="D41" s="78">
        <f t="shared" si="0"/>
        <v>1.6532977051444215</v>
      </c>
      <c r="E41" s="70">
        <f>E40*(1+'💰 Financement 1'!$T$46)</f>
        <v>0.33431551084819711</v>
      </c>
      <c r="F41" s="80">
        <f t="shared" si="1"/>
        <v>1.6532977051444215</v>
      </c>
      <c r="G41" s="610">
        <f>'💰 Financement 1'!$R$43*C41+'💰 Financement 1'!$R$47</f>
        <v>6836.3102169639424</v>
      </c>
      <c r="H41" s="610">
        <f>I41/21</f>
        <v>4436.3102169639415</v>
      </c>
      <c r="I41" s="611">
        <f t="shared" si="3"/>
        <v>93162.514556242764</v>
      </c>
      <c r="J41" s="611">
        <f>'💰 Financement 1'!$T$43*Matrices!E41+'💰 Financement 1'!$T$47</f>
        <v>4496.101641026562</v>
      </c>
      <c r="K41" s="611">
        <f>IF(12*A41&lt;'💰 Financement 1'!$J$45,12*'💰 Financement 1'!$J$47,0)</f>
        <v>0</v>
      </c>
      <c r="L41" s="609">
        <f t="shared" si="4"/>
        <v>88402.484461557819</v>
      </c>
      <c r="M41" s="79">
        <f t="shared" si="2"/>
        <v>2340.2085759373804</v>
      </c>
      <c r="N41" s="82">
        <f t="shared" si="5"/>
        <v>30622.380094684966</v>
      </c>
      <c r="O41" s="81" t="e">
        <f>P41/21</f>
        <v>#REF!</v>
      </c>
      <c r="P41" s="81" t="e">
        <f>IF(AND(#REF!="",#REF!=""),L41+#REF!,Matrices!L41+Matrices!Q41+R41+#REF!)</f>
        <v>#REF!</v>
      </c>
      <c r="Q41" s="83" t="e">
        <f>IF(#REF!&gt;19,(#REF!+#REF!)/#REF!,0)</f>
        <v>#REF!</v>
      </c>
      <c r="R41" s="82" t="e">
        <f>IF(#REF!&gt;19,#REF!/#REF!,0)</f>
        <v>#REF!</v>
      </c>
      <c r="S41" s="84" t="e">
        <f t="shared" si="7"/>
        <v>#REF!</v>
      </c>
      <c r="T41" s="85" t="e">
        <f t="shared" si="7"/>
        <v>#REF!</v>
      </c>
    </row>
    <row r="43" spans="1:27" ht="15.75" thickBot="1" x14ac:dyDescent="0.3"/>
    <row r="44" spans="1:27" ht="45.75" customHeight="1" thickBot="1" x14ac:dyDescent="0.3">
      <c r="B44" s="86" t="s">
        <v>103</v>
      </c>
      <c r="C44" s="87" t="s">
        <v>104</v>
      </c>
      <c r="D44" s="87" t="s">
        <v>105</v>
      </c>
      <c r="E44" s="88" t="s">
        <v>106</v>
      </c>
      <c r="F44" s="89" t="s">
        <v>107</v>
      </c>
      <c r="G44" s="89" t="s">
        <v>108</v>
      </c>
      <c r="H44" s="89" t="s">
        <v>109</v>
      </c>
      <c r="I44" s="89" t="s">
        <v>110</v>
      </c>
      <c r="K44" s="90" t="s">
        <v>111</v>
      </c>
      <c r="L44" s="91" t="s">
        <v>27</v>
      </c>
      <c r="M44" s="91" t="s">
        <v>39</v>
      </c>
      <c r="N44" s="91" t="s">
        <v>112</v>
      </c>
      <c r="O44" s="91" t="s">
        <v>113</v>
      </c>
      <c r="P44" s="91" t="s">
        <v>55</v>
      </c>
      <c r="R44" s="92" t="s">
        <v>114</v>
      </c>
      <c r="S44" s="93"/>
    </row>
    <row r="45" spans="1:27" x14ac:dyDescent="0.25">
      <c r="B45" s="94" t="s">
        <v>115</v>
      </c>
      <c r="C45" s="95">
        <v>93500</v>
      </c>
      <c r="D45" s="96">
        <v>35797</v>
      </c>
      <c r="E45" s="97" t="s">
        <v>27</v>
      </c>
      <c r="F45" s="98">
        <f t="shared" ref="F45:F80" si="8">HLOOKUP(E45,$L$44:$P$47,2,FALSE)</f>
        <v>17.43</v>
      </c>
      <c r="G45" s="98">
        <f t="shared" ref="G45:G80" si="9">HLOOKUP(E45,$L$44:$P$47,3,FALSE)</f>
        <v>12.19</v>
      </c>
      <c r="H45" s="99">
        <f t="shared" ref="H45:H80" si="10">HLOOKUP(E45,$L$44:$P$47,4,FALSE)</f>
        <v>9.49</v>
      </c>
      <c r="I45" s="100" t="e">
        <v>#REF!</v>
      </c>
      <c r="K45" s="101" t="s">
        <v>116</v>
      </c>
      <c r="L45" s="102">
        <v>17.43</v>
      </c>
      <c r="M45" s="102">
        <v>12.95</v>
      </c>
      <c r="N45" s="102">
        <v>10.44</v>
      </c>
      <c r="O45" s="103">
        <v>9.07</v>
      </c>
      <c r="P45" s="103">
        <v>9.07</v>
      </c>
      <c r="R45" s="104" t="s">
        <v>117</v>
      </c>
      <c r="S45" s="104" t="s">
        <v>118</v>
      </c>
    </row>
    <row r="46" spans="1:27" x14ac:dyDescent="0.25">
      <c r="B46" s="105" t="s">
        <v>119</v>
      </c>
      <c r="C46" s="106">
        <v>93170</v>
      </c>
      <c r="D46" s="107">
        <v>53814</v>
      </c>
      <c r="E46" s="108" t="s">
        <v>39</v>
      </c>
      <c r="F46" s="109">
        <f t="shared" si="8"/>
        <v>12.95</v>
      </c>
      <c r="G46" s="109">
        <f t="shared" si="9"/>
        <v>9.3800000000000008</v>
      </c>
      <c r="H46" s="110">
        <f t="shared" si="10"/>
        <v>7.3</v>
      </c>
      <c r="I46" s="111" t="e">
        <v>#REF!</v>
      </c>
      <c r="K46" s="101" t="s">
        <v>120</v>
      </c>
      <c r="L46" s="102">
        <v>12.19</v>
      </c>
      <c r="M46" s="102">
        <v>9.3800000000000008</v>
      </c>
      <c r="N46" s="102">
        <v>8.08</v>
      </c>
      <c r="O46" s="103">
        <v>7.76</v>
      </c>
      <c r="P46" s="103">
        <v>7.2</v>
      </c>
      <c r="R46" s="112" t="s">
        <v>121</v>
      </c>
      <c r="S46" s="113">
        <v>0</v>
      </c>
    </row>
    <row r="47" spans="1:27" x14ac:dyDescent="0.25">
      <c r="B47" s="105" t="s">
        <v>122</v>
      </c>
      <c r="C47" s="106">
        <v>93140</v>
      </c>
      <c r="D47" s="107">
        <v>53540</v>
      </c>
      <c r="E47" s="108" t="s">
        <v>39</v>
      </c>
      <c r="F47" s="109">
        <f t="shared" si="8"/>
        <v>12.95</v>
      </c>
      <c r="G47" s="109">
        <f t="shared" si="9"/>
        <v>9.3800000000000008</v>
      </c>
      <c r="H47" s="110">
        <f t="shared" si="10"/>
        <v>7.3</v>
      </c>
      <c r="I47" s="111" t="e">
        <v>#REF!</v>
      </c>
      <c r="K47" s="101" t="s">
        <v>123</v>
      </c>
      <c r="L47" s="102">
        <v>9.49</v>
      </c>
      <c r="M47" s="102">
        <v>7.3</v>
      </c>
      <c r="N47" s="102" t="s">
        <v>124</v>
      </c>
      <c r="O47" s="103">
        <v>6.02</v>
      </c>
      <c r="P47" s="103">
        <v>5.59</v>
      </c>
      <c r="R47" s="112" t="s">
        <v>125</v>
      </c>
      <c r="S47" s="114">
        <v>5.0000000000000001E-3</v>
      </c>
    </row>
    <row r="48" spans="1:27" x14ac:dyDescent="0.25">
      <c r="B48" s="105" t="s">
        <v>126</v>
      </c>
      <c r="C48" s="106">
        <v>94360</v>
      </c>
      <c r="D48" s="107">
        <v>16805</v>
      </c>
      <c r="E48" s="108" t="s">
        <v>27</v>
      </c>
      <c r="F48" s="109">
        <f t="shared" si="8"/>
        <v>17.43</v>
      </c>
      <c r="G48" s="109">
        <f t="shared" si="9"/>
        <v>12.19</v>
      </c>
      <c r="H48" s="110">
        <f t="shared" si="10"/>
        <v>9.49</v>
      </c>
      <c r="I48" s="111" t="e">
        <v>#REF!</v>
      </c>
      <c r="R48" s="112" t="s">
        <v>127</v>
      </c>
      <c r="S48" s="114">
        <v>1.4999999999999999E-2</v>
      </c>
    </row>
    <row r="49" spans="2:19" x14ac:dyDescent="0.25">
      <c r="B49" s="105" t="s">
        <v>128</v>
      </c>
      <c r="C49" s="106">
        <v>94500</v>
      </c>
      <c r="D49" s="107">
        <v>77992</v>
      </c>
      <c r="E49" s="108" t="s">
        <v>39</v>
      </c>
      <c r="F49" s="109">
        <f t="shared" si="8"/>
        <v>12.95</v>
      </c>
      <c r="G49" s="109">
        <f t="shared" si="9"/>
        <v>9.3800000000000008</v>
      </c>
      <c r="H49" s="110">
        <f t="shared" si="10"/>
        <v>7.3</v>
      </c>
      <c r="I49" s="111" t="e">
        <v>#REF!</v>
      </c>
      <c r="K49" s="91" t="s">
        <v>129</v>
      </c>
      <c r="L49" s="91" t="s">
        <v>27</v>
      </c>
      <c r="M49" s="91" t="s">
        <v>39</v>
      </c>
      <c r="N49" s="91" t="s">
        <v>112</v>
      </c>
      <c r="O49" s="91" t="s">
        <v>130</v>
      </c>
      <c r="R49" s="112" t="s">
        <v>131</v>
      </c>
      <c r="S49" s="114">
        <v>2.5000000000000001E-2</v>
      </c>
    </row>
    <row r="50" spans="2:19" x14ac:dyDescent="0.25">
      <c r="B50" s="105" t="s">
        <v>132</v>
      </c>
      <c r="C50" s="106">
        <v>94220</v>
      </c>
      <c r="D50" s="107">
        <v>30568</v>
      </c>
      <c r="E50" s="108" t="s">
        <v>27</v>
      </c>
      <c r="F50" s="109">
        <f t="shared" si="8"/>
        <v>17.43</v>
      </c>
      <c r="G50" s="109">
        <f t="shared" si="9"/>
        <v>12.19</v>
      </c>
      <c r="H50" s="110">
        <f t="shared" si="10"/>
        <v>9.49</v>
      </c>
      <c r="I50" s="111" t="e">
        <v>#REF!</v>
      </c>
      <c r="J50" s="2">
        <v>2</v>
      </c>
      <c r="K50" s="115" t="s">
        <v>133</v>
      </c>
      <c r="L50" s="116">
        <v>38465</v>
      </c>
      <c r="M50" s="116">
        <v>38465</v>
      </c>
      <c r="N50" s="116">
        <v>31352</v>
      </c>
      <c r="O50" s="116">
        <v>28217</v>
      </c>
      <c r="R50" s="112" t="s">
        <v>134</v>
      </c>
      <c r="S50" s="114">
        <v>3.5000000000000003E-2</v>
      </c>
    </row>
    <row r="51" spans="2:19" x14ac:dyDescent="0.25">
      <c r="B51" s="105" t="s">
        <v>135</v>
      </c>
      <c r="C51" s="106">
        <v>93390</v>
      </c>
      <c r="D51" s="107">
        <v>29433</v>
      </c>
      <c r="E51" s="108" t="s">
        <v>39</v>
      </c>
      <c r="F51" s="109">
        <f t="shared" si="8"/>
        <v>12.95</v>
      </c>
      <c r="G51" s="109">
        <f t="shared" si="9"/>
        <v>9.3800000000000008</v>
      </c>
      <c r="H51" s="110">
        <f t="shared" si="10"/>
        <v>7.3</v>
      </c>
      <c r="I51" s="111" t="e">
        <v>#REF!</v>
      </c>
      <c r="J51" s="2">
        <v>3</v>
      </c>
      <c r="K51" s="115" t="s">
        <v>136</v>
      </c>
      <c r="L51" s="116">
        <v>57489</v>
      </c>
      <c r="M51" s="116">
        <v>57489</v>
      </c>
      <c r="N51" s="116">
        <v>41868</v>
      </c>
      <c r="O51" s="116">
        <v>37681</v>
      </c>
      <c r="R51" s="112" t="s">
        <v>137</v>
      </c>
      <c r="S51" s="114">
        <v>4.4999999999999998E-2</v>
      </c>
    </row>
    <row r="52" spans="2:19" x14ac:dyDescent="0.25">
      <c r="B52" s="105" t="s">
        <v>138</v>
      </c>
      <c r="C52" s="106">
        <v>93470</v>
      </c>
      <c r="D52" s="107">
        <v>4863</v>
      </c>
      <c r="E52" s="108" t="s">
        <v>39</v>
      </c>
      <c r="F52" s="109">
        <f t="shared" si="8"/>
        <v>12.95</v>
      </c>
      <c r="G52" s="109">
        <f t="shared" si="9"/>
        <v>9.3800000000000008</v>
      </c>
      <c r="H52" s="110">
        <f t="shared" si="10"/>
        <v>7.3</v>
      </c>
      <c r="I52" s="111" t="e">
        <v>#REF!</v>
      </c>
      <c r="J52" s="2">
        <v>4</v>
      </c>
      <c r="K52" s="115" t="s">
        <v>139</v>
      </c>
      <c r="L52" s="116">
        <v>75361</v>
      </c>
      <c r="M52" s="116">
        <v>69105</v>
      </c>
      <c r="N52" s="116">
        <v>50349</v>
      </c>
      <c r="O52" s="116">
        <v>45314</v>
      </c>
      <c r="R52" s="112" t="s">
        <v>140</v>
      </c>
      <c r="S52" s="113">
        <v>0.06</v>
      </c>
    </row>
    <row r="53" spans="2:19" x14ac:dyDescent="0.25">
      <c r="B53" s="105" t="s">
        <v>141</v>
      </c>
      <c r="C53" s="106">
        <v>94120</v>
      </c>
      <c r="D53" s="107">
        <v>53418</v>
      </c>
      <c r="E53" s="108" t="s">
        <v>27</v>
      </c>
      <c r="F53" s="109">
        <f t="shared" si="8"/>
        <v>17.43</v>
      </c>
      <c r="G53" s="109">
        <f t="shared" si="9"/>
        <v>12.19</v>
      </c>
      <c r="H53" s="110">
        <f t="shared" si="10"/>
        <v>9.49</v>
      </c>
      <c r="I53" s="111" t="e">
        <v>#REF!</v>
      </c>
      <c r="J53" s="2">
        <v>5</v>
      </c>
      <c r="K53" s="115" t="s">
        <v>142</v>
      </c>
      <c r="L53" s="116">
        <v>89976</v>
      </c>
      <c r="M53" s="116">
        <v>82776</v>
      </c>
      <c r="N53" s="116">
        <v>60783</v>
      </c>
      <c r="O53" s="116">
        <v>54705</v>
      </c>
      <c r="R53" s="112" t="s">
        <v>143</v>
      </c>
      <c r="S53" s="114">
        <v>7.4999999999999997E-2</v>
      </c>
    </row>
    <row r="54" spans="2:19" x14ac:dyDescent="0.25">
      <c r="B54" s="105" t="s">
        <v>144</v>
      </c>
      <c r="C54" s="106">
        <v>93220</v>
      </c>
      <c r="D54" s="107">
        <v>39535</v>
      </c>
      <c r="E54" s="108" t="s">
        <v>39</v>
      </c>
      <c r="F54" s="109">
        <f t="shared" si="8"/>
        <v>12.95</v>
      </c>
      <c r="G54" s="109">
        <f t="shared" si="9"/>
        <v>9.3800000000000008</v>
      </c>
      <c r="H54" s="110">
        <f t="shared" si="10"/>
        <v>7.3</v>
      </c>
      <c r="I54" s="111" t="e">
        <v>#REF!</v>
      </c>
      <c r="J54" s="2">
        <v>6</v>
      </c>
      <c r="K54" s="115" t="s">
        <v>145</v>
      </c>
      <c r="L54" s="116">
        <v>107053</v>
      </c>
      <c r="M54" s="116">
        <v>97991</v>
      </c>
      <c r="N54" s="116">
        <v>71504</v>
      </c>
      <c r="O54" s="116">
        <v>64354</v>
      </c>
      <c r="R54" s="112" t="s">
        <v>146</v>
      </c>
      <c r="S54" s="113">
        <v>0.09</v>
      </c>
    </row>
    <row r="55" spans="2:19" x14ac:dyDescent="0.25">
      <c r="B55" s="105" t="s">
        <v>147</v>
      </c>
      <c r="C55" s="106">
        <v>93460</v>
      </c>
      <c r="D55" s="107">
        <v>6933</v>
      </c>
      <c r="E55" s="108" t="s">
        <v>39</v>
      </c>
      <c r="F55" s="109">
        <f t="shared" si="8"/>
        <v>12.95</v>
      </c>
      <c r="G55" s="109">
        <f t="shared" si="9"/>
        <v>9.3800000000000008</v>
      </c>
      <c r="H55" s="110">
        <f t="shared" si="10"/>
        <v>7.3</v>
      </c>
      <c r="I55" s="111" t="e">
        <v>#REF!</v>
      </c>
      <c r="J55" s="2">
        <v>7</v>
      </c>
      <c r="K55" s="115" t="s">
        <v>148</v>
      </c>
      <c r="L55" s="116">
        <v>120463</v>
      </c>
      <c r="M55" s="116">
        <v>110271</v>
      </c>
      <c r="N55" s="116">
        <v>80584</v>
      </c>
      <c r="O55" s="116">
        <v>72526</v>
      </c>
      <c r="R55" s="112" t="s">
        <v>149</v>
      </c>
      <c r="S55" s="114">
        <v>0.105</v>
      </c>
    </row>
    <row r="56" spans="2:19" ht="15.75" thickBot="1" x14ac:dyDescent="0.3">
      <c r="B56" s="105" t="s">
        <v>150</v>
      </c>
      <c r="C56" s="106">
        <v>94340</v>
      </c>
      <c r="D56" s="107">
        <v>19282</v>
      </c>
      <c r="E56" s="108" t="s">
        <v>27</v>
      </c>
      <c r="F56" s="109">
        <f t="shared" si="8"/>
        <v>17.43</v>
      </c>
      <c r="G56" s="109">
        <f t="shared" si="9"/>
        <v>12.19</v>
      </c>
      <c r="H56" s="110">
        <f t="shared" si="10"/>
        <v>9.49</v>
      </c>
      <c r="I56" s="111" t="e">
        <v>#REF!</v>
      </c>
      <c r="J56" s="2">
        <v>8</v>
      </c>
      <c r="K56" s="117" t="s">
        <v>151</v>
      </c>
      <c r="L56" s="118" t="e">
        <v>#REF!</v>
      </c>
      <c r="M56" s="119" t="e">
        <v>#REF!</v>
      </c>
      <c r="N56" s="119" t="e">
        <v>#REF!</v>
      </c>
      <c r="O56" s="119" t="e">
        <v>#REF!</v>
      </c>
      <c r="R56" s="112" t="s">
        <v>152</v>
      </c>
      <c r="S56" s="113">
        <v>0.12</v>
      </c>
    </row>
    <row r="57" spans="2:19" ht="15.75" thickBot="1" x14ac:dyDescent="0.3">
      <c r="B57" s="105" t="s">
        <v>153</v>
      </c>
      <c r="C57" s="106">
        <v>94170</v>
      </c>
      <c r="D57" s="107">
        <v>34161</v>
      </c>
      <c r="E57" s="108" t="s">
        <v>27</v>
      </c>
      <c r="F57" s="109">
        <f t="shared" si="8"/>
        <v>17.43</v>
      </c>
      <c r="G57" s="109">
        <f t="shared" si="9"/>
        <v>12.19</v>
      </c>
      <c r="H57" s="110">
        <f t="shared" si="10"/>
        <v>9.49</v>
      </c>
      <c r="I57" s="111" t="e">
        <v>#REF!</v>
      </c>
      <c r="K57" s="120" t="s">
        <v>154</v>
      </c>
      <c r="L57" s="121" t="e">
        <v>#REF!</v>
      </c>
      <c r="R57" s="112" t="s">
        <v>155</v>
      </c>
      <c r="S57" s="113">
        <v>0.14000000000000001</v>
      </c>
    </row>
    <row r="58" spans="2:19" x14ac:dyDescent="0.25">
      <c r="B58" s="105" t="s">
        <v>156</v>
      </c>
      <c r="C58" s="106">
        <v>93310</v>
      </c>
      <c r="D58" s="107">
        <v>18040</v>
      </c>
      <c r="E58" s="108" t="s">
        <v>27</v>
      </c>
      <c r="F58" s="109">
        <f t="shared" si="8"/>
        <v>17.43</v>
      </c>
      <c r="G58" s="109">
        <f t="shared" si="9"/>
        <v>12.19</v>
      </c>
      <c r="H58" s="110">
        <f t="shared" si="10"/>
        <v>9.49</v>
      </c>
      <c r="I58" s="111" t="e">
        <v>#REF!</v>
      </c>
      <c r="R58" s="112" t="s">
        <v>157</v>
      </c>
      <c r="S58" s="113">
        <v>0.16</v>
      </c>
    </row>
    <row r="59" spans="2:19" x14ac:dyDescent="0.25">
      <c r="B59" s="105" t="s">
        <v>158</v>
      </c>
      <c r="C59" s="106">
        <v>93340</v>
      </c>
      <c r="D59" s="107">
        <v>14876</v>
      </c>
      <c r="E59" s="108" t="s">
        <v>27</v>
      </c>
      <c r="F59" s="109">
        <f t="shared" si="8"/>
        <v>17.43</v>
      </c>
      <c r="G59" s="109">
        <f t="shared" si="9"/>
        <v>12.19</v>
      </c>
      <c r="H59" s="110">
        <f t="shared" si="10"/>
        <v>9.49</v>
      </c>
      <c r="I59" s="111" t="e">
        <v>#REF!</v>
      </c>
      <c r="R59" s="112" t="s">
        <v>159</v>
      </c>
      <c r="S59" s="113">
        <v>0.18</v>
      </c>
    </row>
    <row r="60" spans="2:19" x14ac:dyDescent="0.25">
      <c r="B60" s="105" t="s">
        <v>160</v>
      </c>
      <c r="C60" s="106">
        <v>93260</v>
      </c>
      <c r="D60" s="107">
        <v>23168</v>
      </c>
      <c r="E60" s="108" t="s">
        <v>27</v>
      </c>
      <c r="F60" s="109">
        <f t="shared" si="8"/>
        <v>17.43</v>
      </c>
      <c r="G60" s="109">
        <f t="shared" si="9"/>
        <v>12.19</v>
      </c>
      <c r="H60" s="110">
        <f t="shared" si="10"/>
        <v>9.49</v>
      </c>
      <c r="I60" s="111" t="e">
        <v>#REF!</v>
      </c>
      <c r="R60" s="112" t="s">
        <v>161</v>
      </c>
      <c r="S60" s="113">
        <v>0.2</v>
      </c>
    </row>
    <row r="61" spans="2:19" x14ac:dyDescent="0.25">
      <c r="B61" s="105" t="s">
        <v>162</v>
      </c>
      <c r="C61" s="106">
        <v>93320</v>
      </c>
      <c r="D61" s="107">
        <v>24060</v>
      </c>
      <c r="E61" s="108" t="s">
        <v>39</v>
      </c>
      <c r="F61" s="109">
        <f t="shared" si="8"/>
        <v>12.95</v>
      </c>
      <c r="G61" s="109">
        <f t="shared" si="9"/>
        <v>9.3800000000000008</v>
      </c>
      <c r="H61" s="110">
        <f t="shared" si="10"/>
        <v>7.3</v>
      </c>
      <c r="I61" s="111" t="e">
        <v>#REF!</v>
      </c>
      <c r="R61" s="112" t="s">
        <v>163</v>
      </c>
      <c r="S61" s="113">
        <v>0.24</v>
      </c>
    </row>
    <row r="62" spans="2:19" x14ac:dyDescent="0.25">
      <c r="B62" s="105" t="s">
        <v>164</v>
      </c>
      <c r="C62" s="106">
        <v>93190</v>
      </c>
      <c r="D62" s="107">
        <v>44661</v>
      </c>
      <c r="E62" s="108" t="s">
        <v>39</v>
      </c>
      <c r="F62" s="109">
        <f t="shared" si="8"/>
        <v>12.95</v>
      </c>
      <c r="G62" s="109">
        <f t="shared" si="9"/>
        <v>9.3800000000000008</v>
      </c>
      <c r="H62" s="110">
        <f t="shared" si="10"/>
        <v>7.3</v>
      </c>
      <c r="I62" s="111" t="e">
        <v>#REF!</v>
      </c>
      <c r="R62" s="112" t="s">
        <v>165</v>
      </c>
      <c r="S62" s="113">
        <v>0.28000000000000003</v>
      </c>
    </row>
    <row r="63" spans="2:19" x14ac:dyDescent="0.25">
      <c r="B63" s="105" t="s">
        <v>166</v>
      </c>
      <c r="C63" s="106">
        <v>94700</v>
      </c>
      <c r="D63" s="107">
        <v>55988</v>
      </c>
      <c r="E63" s="108" t="s">
        <v>27</v>
      </c>
      <c r="F63" s="109">
        <f t="shared" si="8"/>
        <v>17.43</v>
      </c>
      <c r="G63" s="109">
        <f t="shared" si="9"/>
        <v>12.19</v>
      </c>
      <c r="H63" s="110">
        <f t="shared" si="10"/>
        <v>9.49</v>
      </c>
      <c r="I63" s="111" t="e">
        <v>#REF!</v>
      </c>
      <c r="R63" s="112" t="s">
        <v>167</v>
      </c>
      <c r="S63" s="113">
        <v>0.33</v>
      </c>
    </row>
    <row r="64" spans="2:19" x14ac:dyDescent="0.25">
      <c r="B64" s="105" t="s">
        <v>168</v>
      </c>
      <c r="C64" s="106">
        <v>93370</v>
      </c>
      <c r="D64" s="107">
        <v>26889</v>
      </c>
      <c r="E64" s="108" t="s">
        <v>39</v>
      </c>
      <c r="F64" s="109">
        <f t="shared" si="8"/>
        <v>12.95</v>
      </c>
      <c r="G64" s="109">
        <f t="shared" si="9"/>
        <v>9.3800000000000008</v>
      </c>
      <c r="H64" s="110">
        <f t="shared" si="10"/>
        <v>7.3</v>
      </c>
      <c r="I64" s="111" t="e">
        <v>#REF!</v>
      </c>
      <c r="R64" s="112" t="s">
        <v>169</v>
      </c>
      <c r="S64" s="113">
        <v>0.38</v>
      </c>
    </row>
    <row r="65" spans="2:19" x14ac:dyDescent="0.25">
      <c r="B65" s="105" t="s">
        <v>170</v>
      </c>
      <c r="C65" s="106">
        <v>93100</v>
      </c>
      <c r="D65" s="107">
        <v>110474</v>
      </c>
      <c r="E65" s="108" t="s">
        <v>27</v>
      </c>
      <c r="F65" s="109">
        <f t="shared" si="8"/>
        <v>17.43</v>
      </c>
      <c r="G65" s="109">
        <f t="shared" si="9"/>
        <v>12.19</v>
      </c>
      <c r="H65" s="110">
        <f t="shared" si="10"/>
        <v>9.49</v>
      </c>
      <c r="I65" s="111" t="e">
        <v>#REF!</v>
      </c>
      <c r="R65" s="112" t="s">
        <v>171</v>
      </c>
      <c r="S65" s="113">
        <v>0.43</v>
      </c>
    </row>
    <row r="66" spans="2:19" x14ac:dyDescent="0.25">
      <c r="B66" s="105" t="s">
        <v>172</v>
      </c>
      <c r="C66" s="106">
        <v>93360</v>
      </c>
      <c r="D66" s="107">
        <v>21268</v>
      </c>
      <c r="E66" s="108" t="s">
        <v>27</v>
      </c>
      <c r="F66" s="109">
        <f t="shared" si="8"/>
        <v>17.43</v>
      </c>
      <c r="G66" s="109">
        <f t="shared" si="9"/>
        <v>12.19</v>
      </c>
      <c r="H66" s="110">
        <f t="shared" si="10"/>
        <v>9.49</v>
      </c>
      <c r="I66" s="111" t="e">
        <v>#REF!</v>
      </c>
    </row>
    <row r="67" spans="2:19" x14ac:dyDescent="0.25">
      <c r="B67" s="105" t="s">
        <v>173</v>
      </c>
      <c r="C67" s="106">
        <v>93330</v>
      </c>
      <c r="D67" s="107">
        <v>35112</v>
      </c>
      <c r="E67" s="108" t="s">
        <v>39</v>
      </c>
      <c r="F67" s="109">
        <f t="shared" si="8"/>
        <v>12.95</v>
      </c>
      <c r="G67" s="109">
        <f t="shared" si="9"/>
        <v>9.3800000000000008</v>
      </c>
      <c r="H67" s="110">
        <f t="shared" si="10"/>
        <v>7.3</v>
      </c>
      <c r="I67" s="111" t="e">
        <v>#REF!</v>
      </c>
    </row>
    <row r="68" spans="2:19" x14ac:dyDescent="0.25">
      <c r="B68" s="105" t="s">
        <v>174</v>
      </c>
      <c r="C68" s="106">
        <v>94130</v>
      </c>
      <c r="D68" s="107">
        <v>33078</v>
      </c>
      <c r="E68" s="108" t="s">
        <v>27</v>
      </c>
      <c r="F68" s="109">
        <f t="shared" si="8"/>
        <v>17.43</v>
      </c>
      <c r="G68" s="109">
        <f t="shared" si="9"/>
        <v>12.19</v>
      </c>
      <c r="H68" s="110">
        <f t="shared" si="10"/>
        <v>9.49</v>
      </c>
      <c r="I68" s="111" t="e">
        <v>#REF!</v>
      </c>
    </row>
    <row r="69" spans="2:19" x14ac:dyDescent="0.25">
      <c r="B69" s="105" t="s">
        <v>175</v>
      </c>
      <c r="C69" s="106">
        <v>93160</v>
      </c>
      <c r="D69" s="107">
        <v>68515</v>
      </c>
      <c r="E69" s="108" t="s">
        <v>39</v>
      </c>
      <c r="F69" s="109">
        <f t="shared" si="8"/>
        <v>12.95</v>
      </c>
      <c r="G69" s="109">
        <f t="shared" si="9"/>
        <v>9.3800000000000008</v>
      </c>
      <c r="H69" s="110">
        <f t="shared" si="10"/>
        <v>7.3</v>
      </c>
      <c r="I69" s="111" t="e">
        <v>#REF!</v>
      </c>
    </row>
    <row r="70" spans="2:19" x14ac:dyDescent="0.25">
      <c r="B70" s="105" t="s">
        <v>176</v>
      </c>
      <c r="C70" s="106">
        <v>93130</v>
      </c>
      <c r="D70" s="107">
        <v>44274</v>
      </c>
      <c r="E70" s="108" t="s">
        <v>39</v>
      </c>
      <c r="F70" s="109">
        <f t="shared" si="8"/>
        <v>12.95</v>
      </c>
      <c r="G70" s="109">
        <f t="shared" si="9"/>
        <v>9.3800000000000008</v>
      </c>
      <c r="H70" s="110">
        <f t="shared" si="10"/>
        <v>7.3</v>
      </c>
      <c r="I70" s="111" t="e">
        <v>#REF!</v>
      </c>
    </row>
    <row r="71" spans="2:19" x14ac:dyDescent="0.25">
      <c r="B71" s="105" t="s">
        <v>177</v>
      </c>
      <c r="C71" s="106">
        <v>93500</v>
      </c>
      <c r="D71" s="107">
        <v>57668</v>
      </c>
      <c r="E71" s="108" t="s">
        <v>27</v>
      </c>
      <c r="F71" s="109">
        <f t="shared" si="8"/>
        <v>17.43</v>
      </c>
      <c r="G71" s="109">
        <f t="shared" si="9"/>
        <v>12.19</v>
      </c>
      <c r="H71" s="110">
        <f t="shared" si="10"/>
        <v>9.49</v>
      </c>
      <c r="I71" s="111" t="e">
        <v>#REF!</v>
      </c>
    </row>
    <row r="72" spans="2:19" x14ac:dyDescent="0.25">
      <c r="B72" s="105" t="s">
        <v>178</v>
      </c>
      <c r="C72" s="106">
        <v>93250</v>
      </c>
      <c r="D72" s="107">
        <v>27655</v>
      </c>
      <c r="E72" s="108" t="s">
        <v>39</v>
      </c>
      <c r="F72" s="109">
        <f t="shared" si="8"/>
        <v>12.95</v>
      </c>
      <c r="G72" s="109">
        <f t="shared" si="9"/>
        <v>9.3800000000000008</v>
      </c>
      <c r="H72" s="110">
        <f t="shared" si="10"/>
        <v>7.3</v>
      </c>
      <c r="I72" s="111" t="e">
        <v>#REF!</v>
      </c>
    </row>
    <row r="73" spans="2:19" x14ac:dyDescent="0.25">
      <c r="B73" s="105" t="s">
        <v>179</v>
      </c>
      <c r="C73" s="106">
        <v>93110</v>
      </c>
      <c r="D73" s="107">
        <v>46395</v>
      </c>
      <c r="E73" s="108" t="s">
        <v>39</v>
      </c>
      <c r="F73" s="109">
        <f t="shared" si="8"/>
        <v>12.95</v>
      </c>
      <c r="G73" s="109">
        <f t="shared" si="9"/>
        <v>9.3800000000000008</v>
      </c>
      <c r="H73" s="110">
        <f t="shared" si="10"/>
        <v>7.3</v>
      </c>
      <c r="I73" s="111" t="e">
        <v>#REF!</v>
      </c>
    </row>
    <row r="74" spans="2:19" x14ac:dyDescent="0.25">
      <c r="B74" s="105" t="s">
        <v>180</v>
      </c>
      <c r="C74" s="106">
        <v>94160</v>
      </c>
      <c r="D74" s="107">
        <v>22835</v>
      </c>
      <c r="E74" s="108" t="s">
        <v>27</v>
      </c>
      <c r="F74" s="109">
        <f t="shared" si="8"/>
        <v>17.43</v>
      </c>
      <c r="G74" s="109">
        <f t="shared" si="9"/>
        <v>12.19</v>
      </c>
      <c r="H74" s="110">
        <f t="shared" si="10"/>
        <v>9.49</v>
      </c>
      <c r="I74" s="111" t="e">
        <v>#REF!</v>
      </c>
    </row>
    <row r="75" spans="2:19" x14ac:dyDescent="0.25">
      <c r="B75" s="105" t="s">
        <v>181</v>
      </c>
      <c r="C75" s="106">
        <v>94100</v>
      </c>
      <c r="D75" s="107">
        <v>75759</v>
      </c>
      <c r="E75" s="108" t="s">
        <v>27</v>
      </c>
      <c r="F75" s="109">
        <f t="shared" si="8"/>
        <v>17.43</v>
      </c>
      <c r="G75" s="109">
        <f t="shared" si="9"/>
        <v>12.19</v>
      </c>
      <c r="H75" s="110">
        <f t="shared" si="10"/>
        <v>9.49</v>
      </c>
      <c r="I75" s="111" t="e">
        <v>#REF!</v>
      </c>
    </row>
    <row r="76" spans="2:19" x14ac:dyDescent="0.25">
      <c r="B76" s="105" t="s">
        <v>182</v>
      </c>
      <c r="C76" s="106">
        <v>94410</v>
      </c>
      <c r="D76" s="107">
        <v>14153</v>
      </c>
      <c r="E76" s="108" t="s">
        <v>27</v>
      </c>
      <c r="F76" s="109">
        <f t="shared" si="8"/>
        <v>17.43</v>
      </c>
      <c r="G76" s="109">
        <f t="shared" si="9"/>
        <v>12.19</v>
      </c>
      <c r="H76" s="110">
        <f t="shared" si="10"/>
        <v>9.49</v>
      </c>
      <c r="I76" s="111" t="e">
        <v>#REF!</v>
      </c>
    </row>
    <row r="77" spans="2:19" x14ac:dyDescent="0.25">
      <c r="B77" s="105" t="s">
        <v>183</v>
      </c>
      <c r="C77" s="106">
        <v>93140</v>
      </c>
      <c r="D77" s="107">
        <v>7117</v>
      </c>
      <c r="E77" s="108" t="s">
        <v>39</v>
      </c>
      <c r="F77" s="109">
        <f t="shared" si="8"/>
        <v>12.95</v>
      </c>
      <c r="G77" s="109">
        <f t="shared" si="9"/>
        <v>9.3800000000000008</v>
      </c>
      <c r="H77" s="110">
        <f t="shared" si="10"/>
        <v>7.3</v>
      </c>
      <c r="I77" s="111" t="e">
        <v>#REF!</v>
      </c>
    </row>
    <row r="78" spans="2:19" x14ac:dyDescent="0.25">
      <c r="B78" s="105" t="s">
        <v>184</v>
      </c>
      <c r="C78" s="106">
        <v>93250</v>
      </c>
      <c r="D78" s="107">
        <v>30152</v>
      </c>
      <c r="E78" s="108" t="s">
        <v>27</v>
      </c>
      <c r="F78" s="109">
        <f t="shared" si="8"/>
        <v>17.43</v>
      </c>
      <c r="G78" s="109">
        <f t="shared" si="9"/>
        <v>12.19</v>
      </c>
      <c r="H78" s="110">
        <f t="shared" si="10"/>
        <v>9.49</v>
      </c>
      <c r="I78" s="111" t="e">
        <v>#REF!</v>
      </c>
    </row>
    <row r="79" spans="2:19" x14ac:dyDescent="0.25">
      <c r="B79" s="105" t="s">
        <v>185</v>
      </c>
      <c r="C79" s="106">
        <v>94350</v>
      </c>
      <c r="D79" s="107">
        <v>28567</v>
      </c>
      <c r="E79" s="108" t="s">
        <v>39</v>
      </c>
      <c r="F79" s="109">
        <f t="shared" si="8"/>
        <v>12.95</v>
      </c>
      <c r="G79" s="109">
        <f t="shared" si="9"/>
        <v>9.3800000000000008</v>
      </c>
      <c r="H79" s="110">
        <f t="shared" si="10"/>
        <v>7.3</v>
      </c>
      <c r="I79" s="111" t="e">
        <v>#REF!</v>
      </c>
    </row>
    <row r="80" spans="2:19" ht="15.75" thickBot="1" x14ac:dyDescent="0.3">
      <c r="B80" s="122" t="s">
        <v>186</v>
      </c>
      <c r="C80" s="123">
        <v>94300</v>
      </c>
      <c r="D80" s="124">
        <v>50267</v>
      </c>
      <c r="E80" s="125" t="s">
        <v>27</v>
      </c>
      <c r="F80" s="126">
        <f t="shared" si="8"/>
        <v>17.43</v>
      </c>
      <c r="G80" s="126">
        <f t="shared" si="9"/>
        <v>12.19</v>
      </c>
      <c r="H80" s="127">
        <f t="shared" si="10"/>
        <v>9.49</v>
      </c>
      <c r="I80" s="128" t="e">
        <v>#REF!</v>
      </c>
    </row>
    <row r="81" spans="2:18" ht="15.75" thickBot="1" x14ac:dyDescent="0.3"/>
    <row r="82" spans="2:18" ht="16.5" thickBot="1" x14ac:dyDescent="0.3">
      <c r="B82" s="728" t="s">
        <v>187</v>
      </c>
      <c r="C82" s="729"/>
      <c r="D82" s="729"/>
      <c r="E82" s="729"/>
      <c r="F82" s="729"/>
      <c r="G82" s="729"/>
      <c r="H82" s="729"/>
      <c r="I82" s="729"/>
      <c r="J82" s="729"/>
      <c r="K82" s="729"/>
      <c r="L82" s="729"/>
      <c r="M82" s="729"/>
      <c r="N82" s="729"/>
      <c r="O82" s="729"/>
      <c r="P82" s="729"/>
      <c r="Q82" s="729"/>
      <c r="R82" s="730"/>
    </row>
    <row r="83" spans="2:18" ht="15.75" thickBot="1" x14ac:dyDescent="0.3">
      <c r="B83" s="731"/>
      <c r="C83" s="731"/>
      <c r="D83" s="731"/>
      <c r="E83" s="731"/>
      <c r="I83" s="129"/>
      <c r="K83" s="129"/>
      <c r="L83" s="130"/>
      <c r="M83" s="130"/>
      <c r="N83" s="130"/>
    </row>
    <row r="84" spans="2:18" ht="15.75" thickBot="1" x14ac:dyDescent="0.3">
      <c r="B84" s="732" t="s">
        <v>188</v>
      </c>
      <c r="C84" s="733"/>
      <c r="D84" s="733"/>
      <c r="E84" s="733"/>
      <c r="F84" s="734"/>
      <c r="I84" s="732" t="s">
        <v>189</v>
      </c>
      <c r="J84" s="733"/>
      <c r="L84" s="130"/>
      <c r="M84" s="130"/>
      <c r="N84" s="130"/>
    </row>
    <row r="85" spans="2:18" x14ac:dyDescent="0.25">
      <c r="B85" s="131" t="s">
        <v>190</v>
      </c>
      <c r="C85" s="132" t="s">
        <v>191</v>
      </c>
      <c r="D85" s="133" t="s">
        <v>192</v>
      </c>
      <c r="E85" s="133" t="s">
        <v>193</v>
      </c>
      <c r="F85" s="134" t="s">
        <v>194</v>
      </c>
      <c r="H85" s="8"/>
      <c r="I85" s="135" t="s">
        <v>189</v>
      </c>
      <c r="J85" s="135" t="s">
        <v>195</v>
      </c>
      <c r="L85" s="130"/>
      <c r="M85" s="130"/>
      <c r="N85" s="130"/>
    </row>
    <row r="86" spans="2:18" x14ac:dyDescent="0.25">
      <c r="B86" s="106">
        <v>1</v>
      </c>
      <c r="C86" s="136">
        <v>20593</v>
      </c>
      <c r="D86" s="137">
        <v>25068</v>
      </c>
      <c r="E86" s="137">
        <v>38184</v>
      </c>
      <c r="F86" s="138" t="s">
        <v>196</v>
      </c>
      <c r="I86" s="139" t="s">
        <v>39</v>
      </c>
      <c r="J86" s="140">
        <v>50</v>
      </c>
      <c r="N86" s="130"/>
    </row>
    <row r="87" spans="2:18" x14ac:dyDescent="0.25">
      <c r="B87" s="106">
        <v>2</v>
      </c>
      <c r="C87" s="136">
        <v>30225</v>
      </c>
      <c r="D87" s="137">
        <v>36792</v>
      </c>
      <c r="E87" s="137">
        <v>56130</v>
      </c>
      <c r="F87" s="138" t="s">
        <v>197</v>
      </c>
      <c r="I87" s="139" t="s">
        <v>48</v>
      </c>
      <c r="J87" s="140">
        <v>90</v>
      </c>
    </row>
    <row r="88" spans="2:18" x14ac:dyDescent="0.25">
      <c r="B88" s="106">
        <v>3</v>
      </c>
      <c r="C88" s="136">
        <v>36297</v>
      </c>
      <c r="D88" s="137">
        <v>44188</v>
      </c>
      <c r="E88" s="137">
        <v>67585</v>
      </c>
      <c r="F88" s="138" t="s">
        <v>198</v>
      </c>
      <c r="I88" s="139" t="s">
        <v>55</v>
      </c>
      <c r="J88" s="140">
        <v>150</v>
      </c>
    </row>
    <row r="89" spans="2:18" x14ac:dyDescent="0.25">
      <c r="B89" s="106">
        <v>4</v>
      </c>
      <c r="C89" s="136">
        <v>42381</v>
      </c>
      <c r="D89" s="137">
        <v>51597</v>
      </c>
      <c r="E89" s="137">
        <v>79041</v>
      </c>
      <c r="F89" s="138" t="s">
        <v>199</v>
      </c>
      <c r="I89" s="139" t="s">
        <v>200</v>
      </c>
      <c r="J89" s="140">
        <v>230</v>
      </c>
    </row>
    <row r="90" spans="2:18" x14ac:dyDescent="0.25">
      <c r="B90" s="106">
        <v>5</v>
      </c>
      <c r="C90" s="136">
        <v>48488</v>
      </c>
      <c r="D90" s="137">
        <v>59026</v>
      </c>
      <c r="E90" s="137">
        <v>90496</v>
      </c>
      <c r="F90" s="138" t="s">
        <v>201</v>
      </c>
      <c r="I90" s="139" t="s">
        <v>202</v>
      </c>
      <c r="J90" s="140">
        <v>330</v>
      </c>
    </row>
    <row r="91" spans="2:18" x14ac:dyDescent="0.25">
      <c r="B91" s="106">
        <v>6</v>
      </c>
      <c r="C91" s="141">
        <f>C90+6096</f>
        <v>54584</v>
      </c>
      <c r="D91" s="141">
        <f>D90+7422</f>
        <v>66448</v>
      </c>
      <c r="E91" s="141">
        <f>E90+11455</f>
        <v>101951</v>
      </c>
      <c r="F91" s="142" t="s">
        <v>203</v>
      </c>
      <c r="I91" s="139" t="s">
        <v>204</v>
      </c>
      <c r="J91" s="140">
        <v>450</v>
      </c>
    </row>
    <row r="92" spans="2:18" x14ac:dyDescent="0.25">
      <c r="B92" s="106">
        <v>7</v>
      </c>
      <c r="C92" s="141">
        <f>C91+6096</f>
        <v>60680</v>
      </c>
      <c r="D92" s="141">
        <f t="shared" ref="D92:D95" si="11">D91+7422</f>
        <v>73870</v>
      </c>
      <c r="E92" s="141">
        <f t="shared" ref="E92:E95" si="12">E91+11455</f>
        <v>113406</v>
      </c>
      <c r="F92" s="142" t="s">
        <v>205</v>
      </c>
      <c r="I92" s="139" t="s">
        <v>206</v>
      </c>
      <c r="J92" s="140" t="s">
        <v>207</v>
      </c>
    </row>
    <row r="93" spans="2:18" x14ac:dyDescent="0.25">
      <c r="B93" s="143">
        <v>8</v>
      </c>
      <c r="C93" s="141">
        <f t="shared" ref="C93:C95" si="13">C92+6096</f>
        <v>66776</v>
      </c>
      <c r="D93" s="141">
        <f t="shared" si="11"/>
        <v>81292</v>
      </c>
      <c r="E93" s="141">
        <f t="shared" si="12"/>
        <v>124861</v>
      </c>
      <c r="F93" s="142" t="s">
        <v>208</v>
      </c>
    </row>
    <row r="94" spans="2:18" x14ac:dyDescent="0.25">
      <c r="B94" s="106">
        <v>9</v>
      </c>
      <c r="C94" s="141">
        <f t="shared" si="13"/>
        <v>72872</v>
      </c>
      <c r="D94" s="141">
        <f t="shared" si="11"/>
        <v>88714</v>
      </c>
      <c r="E94" s="141">
        <f t="shared" si="12"/>
        <v>136316</v>
      </c>
      <c r="F94" s="142" t="s">
        <v>209</v>
      </c>
    </row>
    <row r="95" spans="2:18" ht="15.75" thickBot="1" x14ac:dyDescent="0.3">
      <c r="B95" s="123">
        <v>10</v>
      </c>
      <c r="C95" s="144">
        <f t="shared" si="13"/>
        <v>78968</v>
      </c>
      <c r="D95" s="144">
        <f t="shared" si="11"/>
        <v>96136</v>
      </c>
      <c r="E95" s="144">
        <f t="shared" si="12"/>
        <v>147771</v>
      </c>
      <c r="F95" s="145" t="s">
        <v>210</v>
      </c>
    </row>
    <row r="97" spans="1:35" ht="15.75" thickBot="1" x14ac:dyDescent="0.3"/>
    <row r="98" spans="1:35" ht="15.75" x14ac:dyDescent="0.25">
      <c r="B98" s="146" t="s">
        <v>211</v>
      </c>
      <c r="C98" s="147" t="s">
        <v>212</v>
      </c>
      <c r="D98" s="139" t="s">
        <v>213</v>
      </c>
      <c r="E98" s="148" t="s">
        <v>214</v>
      </c>
      <c r="F98" s="148" t="s">
        <v>215</v>
      </c>
      <c r="G98" s="148" t="s">
        <v>2</v>
      </c>
      <c r="H98" s="148" t="s">
        <v>216</v>
      </c>
      <c r="I98" s="148" t="s">
        <v>217</v>
      </c>
      <c r="J98" s="148" t="s">
        <v>0</v>
      </c>
      <c r="K98" s="139" t="s">
        <v>218</v>
      </c>
    </row>
    <row r="99" spans="1:35" x14ac:dyDescent="0.25">
      <c r="B99" s="148" t="s">
        <v>252</v>
      </c>
      <c r="C99" s="148">
        <v>0</v>
      </c>
      <c r="D99" s="148"/>
      <c r="E99" s="148">
        <f>IF(AND($D$208=1,$D$209=1,D99=$O$5),1000,IF(AND($D$208=1,$D$209=1,D99=$O$6),2000,0))</f>
        <v>0</v>
      </c>
      <c r="F99" s="148">
        <f>IF(C99="",0,IF(C99*80%&lt;E99,C99*80%,E99))</f>
        <v>0</v>
      </c>
      <c r="G99" s="66">
        <f>I115</f>
        <v>0</v>
      </c>
      <c r="H99" s="148" t="e">
        <f>#REF!</f>
        <v>#REF!</v>
      </c>
      <c r="I99" s="66" t="e">
        <f>SUM(G99:H99)</f>
        <v>#REF!</v>
      </c>
      <c r="J99" s="66" t="e">
        <f>IF(C99-I99&lt;0,0,C99-I99)</f>
        <v>#REF!</v>
      </c>
      <c r="K99" s="139" t="e">
        <f>RANK(J99,$J$99:$J$101,0)</f>
        <v>#REF!</v>
      </c>
    </row>
    <row r="100" spans="1:35" x14ac:dyDescent="0.25">
      <c r="B100" s="148" t="s">
        <v>253</v>
      </c>
      <c r="C100" s="148">
        <v>0</v>
      </c>
      <c r="D100" s="148"/>
      <c r="E100" s="148">
        <f>IF(AND($D$208=1,$D$209=1,D100=$O$5),1000,IF(AND($D$208=1,$D$209=1,D100=$O$6),2000,0))</f>
        <v>0</v>
      </c>
      <c r="F100" s="148">
        <f>IF(C100="",0,IF(C100*80%&lt;E100,C100*80%,E100))</f>
        <v>0</v>
      </c>
      <c r="G100" s="66">
        <f>I116</f>
        <v>0</v>
      </c>
      <c r="H100" s="148" t="e">
        <f>#REF!</f>
        <v>#REF!</v>
      </c>
      <c r="I100" s="66" t="e">
        <f>SUM(G100:H100)</f>
        <v>#REF!</v>
      </c>
      <c r="J100" s="66" t="e">
        <f>IF(C100-I100&lt;0,0,C100-I100)</f>
        <v>#REF!</v>
      </c>
      <c r="K100" s="139" t="e">
        <f t="shared" ref="K100:K101" si="14">RANK(J100,$J$99:$J$101,0)</f>
        <v>#REF!</v>
      </c>
    </row>
    <row r="101" spans="1:35" x14ac:dyDescent="0.25">
      <c r="B101" s="148" t="s">
        <v>255</v>
      </c>
      <c r="C101" s="148">
        <v>0</v>
      </c>
      <c r="D101" s="148"/>
      <c r="E101" s="148">
        <f>IF(AND($D$208=1,$D$209=1,D101=$O$5),1000,IF(AND($D$208=1,$D$209=1,D101=$O$6),2000,0))</f>
        <v>0</v>
      </c>
      <c r="F101" s="148">
        <f>IF(C101="",0,IF(C101*80%&lt;E101,C101*80%,E101))</f>
        <v>0</v>
      </c>
      <c r="G101" s="66">
        <f>I118</f>
        <v>0</v>
      </c>
      <c r="H101" s="148" t="e">
        <f>#REF!</f>
        <v>#REF!</v>
      </c>
      <c r="I101" s="66" t="e">
        <f>SUM(G101:H101)</f>
        <v>#REF!</v>
      </c>
      <c r="J101" s="66" t="e">
        <f>IF(C101-I101&lt;0,0,C101-I101)</f>
        <v>#REF!</v>
      </c>
      <c r="K101" s="139" t="e">
        <f t="shared" si="14"/>
        <v>#REF!</v>
      </c>
    </row>
    <row r="103" spans="1:35" ht="15.75" thickBot="1" x14ac:dyDescent="0.3">
      <c r="G103" s="149"/>
    </row>
    <row r="104" spans="1:35" ht="19.5" thickBot="1" x14ac:dyDescent="0.35">
      <c r="D104" s="702" t="s">
        <v>219</v>
      </c>
      <c r="E104" s="703"/>
      <c r="F104" s="703"/>
      <c r="G104" s="703"/>
      <c r="H104" s="703"/>
      <c r="I104" s="704"/>
      <c r="J104" s="702" t="s">
        <v>501</v>
      </c>
      <c r="K104" s="703"/>
      <c r="L104" s="703"/>
      <c r="M104" s="703"/>
      <c r="N104" s="704"/>
      <c r="O104" s="702" t="s">
        <v>502</v>
      </c>
      <c r="P104" s="703"/>
      <c r="Q104" s="703"/>
      <c r="R104" s="703"/>
      <c r="S104" s="704"/>
      <c r="T104" s="702" t="s">
        <v>221</v>
      </c>
      <c r="U104" s="703"/>
      <c r="V104" s="704"/>
      <c r="W104" s="150" t="s">
        <v>222</v>
      </c>
      <c r="X104" s="715" t="s">
        <v>223</v>
      </c>
      <c r="Y104" s="716"/>
      <c r="Z104" s="716"/>
      <c r="AA104" s="716"/>
      <c r="AB104" s="716"/>
      <c r="AC104" s="716"/>
      <c r="AD104" s="717"/>
      <c r="AG104" s="151"/>
    </row>
    <row r="105" spans="1:35" ht="15" customHeight="1" x14ac:dyDescent="0.25">
      <c r="B105" s="718" t="s">
        <v>224</v>
      </c>
      <c r="C105" s="720" t="s">
        <v>212</v>
      </c>
      <c r="D105" s="722" t="s">
        <v>225</v>
      </c>
      <c r="E105" s="722"/>
      <c r="F105" s="722"/>
      <c r="G105" s="723"/>
      <c r="H105" s="699" t="s">
        <v>226</v>
      </c>
      <c r="I105" s="708" t="s">
        <v>227</v>
      </c>
      <c r="J105" s="724" t="s">
        <v>225</v>
      </c>
      <c r="K105" s="722"/>
      <c r="L105" s="722"/>
      <c r="M105" s="725"/>
      <c r="N105" s="708" t="s">
        <v>228</v>
      </c>
      <c r="O105" s="724" t="s">
        <v>225</v>
      </c>
      <c r="P105" s="722"/>
      <c r="Q105" s="722"/>
      <c r="R105" s="725"/>
      <c r="S105" s="708" t="s">
        <v>228</v>
      </c>
      <c r="T105" s="710" t="s">
        <v>229</v>
      </c>
      <c r="U105" s="726" t="s">
        <v>230</v>
      </c>
      <c r="V105" s="699" t="s">
        <v>231</v>
      </c>
      <c r="W105" s="713" t="s">
        <v>231</v>
      </c>
      <c r="X105" s="710" t="s">
        <v>232</v>
      </c>
      <c r="Y105" s="699" t="s">
        <v>220</v>
      </c>
      <c r="Z105" s="708" t="s">
        <v>233</v>
      </c>
      <c r="AA105" s="708" t="s">
        <v>234</v>
      </c>
      <c r="AB105" s="710" t="s">
        <v>235</v>
      </c>
      <c r="AC105" s="726" t="s">
        <v>236</v>
      </c>
      <c r="AD105" s="726" t="s">
        <v>237</v>
      </c>
      <c r="AE105" s="699" t="s">
        <v>238</v>
      </c>
      <c r="AF105" s="699" t="s">
        <v>239</v>
      </c>
      <c r="AG105" s="699" t="s">
        <v>240</v>
      </c>
      <c r="AH105" s="699" t="s">
        <v>241</v>
      </c>
      <c r="AI105" s="699" t="s">
        <v>242</v>
      </c>
    </row>
    <row r="106" spans="1:35" ht="15.75" customHeight="1" thickBot="1" x14ac:dyDescent="0.3">
      <c r="A106" s="2">
        <v>1</v>
      </c>
      <c r="B106" s="719"/>
      <c r="C106" s="721"/>
      <c r="D106" s="152" t="s">
        <v>191</v>
      </c>
      <c r="E106" s="153" t="s">
        <v>192</v>
      </c>
      <c r="F106" s="153" t="s">
        <v>193</v>
      </c>
      <c r="G106" s="153" t="s">
        <v>194</v>
      </c>
      <c r="H106" s="712"/>
      <c r="I106" s="709"/>
      <c r="J106" s="152" t="s">
        <v>191</v>
      </c>
      <c r="K106" s="154" t="s">
        <v>192</v>
      </c>
      <c r="L106" s="153" t="s">
        <v>193</v>
      </c>
      <c r="M106" s="153" t="s">
        <v>194</v>
      </c>
      <c r="N106" s="709"/>
      <c r="O106" s="152" t="s">
        <v>191</v>
      </c>
      <c r="P106" s="154" t="s">
        <v>192</v>
      </c>
      <c r="Q106" s="153" t="s">
        <v>193</v>
      </c>
      <c r="R106" s="153" t="s">
        <v>194</v>
      </c>
      <c r="S106" s="709"/>
      <c r="T106" s="711"/>
      <c r="U106" s="727"/>
      <c r="V106" s="712"/>
      <c r="W106" s="714"/>
      <c r="X106" s="711"/>
      <c r="Y106" s="712"/>
      <c r="Z106" s="709"/>
      <c r="AA106" s="709"/>
      <c r="AB106" s="711"/>
      <c r="AC106" s="727"/>
      <c r="AD106" s="727"/>
      <c r="AE106" s="712"/>
      <c r="AF106" s="700" t="s">
        <v>243</v>
      </c>
      <c r="AG106" s="700"/>
      <c r="AH106" s="700" t="s">
        <v>243</v>
      </c>
      <c r="AI106" s="700" t="s">
        <v>243</v>
      </c>
    </row>
    <row r="107" spans="1:35" ht="15" customHeight="1" thickBot="1" x14ac:dyDescent="0.3">
      <c r="A107" s="2">
        <v>2</v>
      </c>
      <c r="B107" s="155" t="s">
        <v>244</v>
      </c>
      <c r="C107" s="156">
        <f>scénario_1!E21</f>
        <v>0</v>
      </c>
      <c r="D107" s="180">
        <v>11000</v>
      </c>
      <c r="E107" s="181">
        <v>9000</v>
      </c>
      <c r="F107" s="181">
        <v>5000</v>
      </c>
      <c r="G107" s="158">
        <v>0</v>
      </c>
      <c r="H107" s="159">
        <v>18000</v>
      </c>
      <c r="I107" s="160"/>
      <c r="J107" s="161">
        <v>4000</v>
      </c>
      <c r="K107" s="162">
        <v>4000</v>
      </c>
      <c r="L107" s="162">
        <v>2500</v>
      </c>
      <c r="M107" s="163">
        <v>2500</v>
      </c>
      <c r="N107" s="164"/>
      <c r="O107" s="161">
        <v>4000</v>
      </c>
      <c r="P107" s="162">
        <v>4000</v>
      </c>
      <c r="Q107" s="162">
        <v>2500</v>
      </c>
      <c r="R107" s="163">
        <v>2500</v>
      </c>
      <c r="S107" s="164"/>
      <c r="T107" s="166">
        <v>0</v>
      </c>
      <c r="U107" s="167"/>
      <c r="V107" s="100"/>
      <c r="W107" s="168"/>
      <c r="X107" s="169" t="e">
        <f>IF(#REF!=Matrices!$L$6,0,IF(N107&gt;C107,C107,N107))</f>
        <v>#REF!</v>
      </c>
      <c r="Y107" s="170" t="e">
        <f>IF(#REF!=Matrices!$L$6,0,IF(S107&gt;C107,C107,S107))</f>
        <v>#REF!</v>
      </c>
      <c r="Z107" s="100">
        <v>0</v>
      </c>
      <c r="AA107" s="168">
        <v>0</v>
      </c>
      <c r="AB107" s="171" t="e">
        <v>#REF!</v>
      </c>
      <c r="AC107" s="171" t="e">
        <f>SUM(X107:AA107)</f>
        <v>#REF!</v>
      </c>
      <c r="AD107" s="172" t="e">
        <f>IF(C107="",0,IF(AC107&gt;AB107,0,AB107-AC107))</f>
        <v>#REF!</v>
      </c>
      <c r="AE107" s="173" t="e">
        <f>IF(OR(I107=0,AD107=0),0,IF(AD107&lt;I107,AD107,I107))</f>
        <v>#REF!</v>
      </c>
      <c r="AF107" s="174">
        <v>0.15</v>
      </c>
      <c r="AG107" s="175">
        <v>6765</v>
      </c>
      <c r="AH107" s="176">
        <v>0.14817629179331307</v>
      </c>
      <c r="AI107" s="177">
        <v>6682.7507598784196</v>
      </c>
    </row>
    <row r="108" spans="1:35" ht="15" customHeight="1" thickBot="1" x14ac:dyDescent="0.3">
      <c r="A108" s="2">
        <v>3</v>
      </c>
      <c r="B108" s="178" t="s">
        <v>245</v>
      </c>
      <c r="C108" s="179">
        <f>scénario_1!E22</f>
        <v>12000</v>
      </c>
      <c r="D108" s="180">
        <v>11000</v>
      </c>
      <c r="E108" s="181">
        <v>9000</v>
      </c>
      <c r="F108" s="181">
        <v>5000</v>
      </c>
      <c r="G108" s="181">
        <v>0</v>
      </c>
      <c r="H108" s="182">
        <v>18000</v>
      </c>
      <c r="I108" s="183"/>
      <c r="J108" s="184">
        <v>4000</v>
      </c>
      <c r="K108" s="165">
        <v>4000</v>
      </c>
      <c r="L108" s="165">
        <v>2500</v>
      </c>
      <c r="M108" s="185">
        <v>2500</v>
      </c>
      <c r="N108" s="186"/>
      <c r="O108" s="184">
        <v>4000</v>
      </c>
      <c r="P108" s="165">
        <v>4000</v>
      </c>
      <c r="Q108" s="165">
        <v>2500</v>
      </c>
      <c r="R108" s="185">
        <v>2500</v>
      </c>
      <c r="S108" s="186"/>
      <c r="T108" s="188">
        <v>0</v>
      </c>
      <c r="U108" s="189"/>
      <c r="V108" s="111"/>
      <c r="W108" s="190"/>
      <c r="X108" s="191" t="e">
        <f>IF(#REF!=Matrices!$L$6,0,IF(N108&gt;C108,C108,N108))</f>
        <v>#REF!</v>
      </c>
      <c r="Y108" s="192" t="e">
        <f>IF(#REF!=Matrices!$L$6,0,IF(S108&gt;C108,C108,S108))</f>
        <v>#REF!</v>
      </c>
      <c r="Z108" s="111">
        <v>0</v>
      </c>
      <c r="AA108" s="190">
        <v>0</v>
      </c>
      <c r="AB108" s="193" t="e">
        <v>#REF!</v>
      </c>
      <c r="AC108" s="193" t="e">
        <f t="shared" ref="AC108:AC134" si="15">SUM(X108:AA108)</f>
        <v>#REF!</v>
      </c>
      <c r="AD108" s="194" t="e">
        <f t="shared" ref="AD108:AD134" si="16">IF(C108="",0,IF(AC108&gt;AB108,0,AB108-AC108))</f>
        <v>#REF!</v>
      </c>
      <c r="AE108" s="195" t="e">
        <f t="shared" ref="AE108:AE134" si="17">IF(OR(I108=0,AD108=0),0,IF(AD108&lt;I108,AD108,I108))</f>
        <v>#REF!</v>
      </c>
      <c r="AF108" s="196">
        <v>0.15</v>
      </c>
      <c r="AG108" s="197">
        <v>6765</v>
      </c>
      <c r="AH108" s="176">
        <v>0.14817629179331307</v>
      </c>
      <c r="AI108" s="177">
        <v>6682.7507598784196</v>
      </c>
    </row>
    <row r="109" spans="1:35" ht="15.75" thickBot="1" x14ac:dyDescent="0.3">
      <c r="A109" s="2">
        <v>4</v>
      </c>
      <c r="B109" s="178" t="s">
        <v>246</v>
      </c>
      <c r="C109" s="179">
        <f>scénario_1!E23</f>
        <v>0</v>
      </c>
      <c r="D109" s="180">
        <v>11000</v>
      </c>
      <c r="E109" s="181">
        <v>9000</v>
      </c>
      <c r="F109" s="181">
        <v>5000</v>
      </c>
      <c r="G109" s="181">
        <v>0</v>
      </c>
      <c r="H109" s="182">
        <v>16000</v>
      </c>
      <c r="I109" s="183"/>
      <c r="J109" s="184">
        <v>4000</v>
      </c>
      <c r="K109" s="165">
        <v>4000</v>
      </c>
      <c r="L109" s="165">
        <v>2500</v>
      </c>
      <c r="M109" s="185">
        <v>2500</v>
      </c>
      <c r="N109" s="186"/>
      <c r="O109" s="184">
        <v>4000</v>
      </c>
      <c r="P109" s="165">
        <v>4000</v>
      </c>
      <c r="Q109" s="165">
        <v>2500</v>
      </c>
      <c r="R109" s="185">
        <v>2500</v>
      </c>
      <c r="S109" s="186"/>
      <c r="T109" s="198">
        <v>0.7</v>
      </c>
      <c r="U109" s="191">
        <v>1000</v>
      </c>
      <c r="V109" s="199">
        <v>0</v>
      </c>
      <c r="W109" s="190"/>
      <c r="X109" s="191" t="e">
        <f>IF(#REF!=Matrices!$L$6,0,IF(N109&gt;C109,C109,N109))</f>
        <v>#REF!</v>
      </c>
      <c r="Y109" s="192" t="e">
        <f>IF(#REF!=Matrices!$L$6,0,IF(S109&gt;C109,C109,S109))</f>
        <v>#REF!</v>
      </c>
      <c r="Z109" s="192">
        <v>0</v>
      </c>
      <c r="AA109" s="190">
        <v>0</v>
      </c>
      <c r="AB109" s="193" t="e">
        <v>#REF!</v>
      </c>
      <c r="AC109" s="193" t="e">
        <f t="shared" si="15"/>
        <v>#REF!</v>
      </c>
      <c r="AD109" s="194" t="e">
        <f t="shared" si="16"/>
        <v>#REF!</v>
      </c>
      <c r="AE109" s="195" t="e">
        <f t="shared" si="17"/>
        <v>#REF!</v>
      </c>
      <c r="AF109" s="196">
        <v>0.15</v>
      </c>
      <c r="AG109" s="197">
        <v>6765</v>
      </c>
      <c r="AH109" s="176">
        <v>0.14817629179331307</v>
      </c>
      <c r="AI109" s="177">
        <v>6682.7507598784196</v>
      </c>
    </row>
    <row r="110" spans="1:35" ht="15.75" thickBot="1" x14ac:dyDescent="0.3">
      <c r="A110" s="2">
        <v>5</v>
      </c>
      <c r="B110" s="178" t="s">
        <v>247</v>
      </c>
      <c r="C110" s="179">
        <f>scénario_1!E24</f>
        <v>0</v>
      </c>
      <c r="D110" s="180">
        <v>9000</v>
      </c>
      <c r="E110" s="181">
        <v>7500</v>
      </c>
      <c r="F110" s="181">
        <v>4000</v>
      </c>
      <c r="G110" s="181">
        <v>0</v>
      </c>
      <c r="H110" s="182">
        <v>16000</v>
      </c>
      <c r="I110" s="183"/>
      <c r="J110" s="184">
        <v>4000</v>
      </c>
      <c r="K110" s="165">
        <v>4000</v>
      </c>
      <c r="L110" s="165">
        <v>2500</v>
      </c>
      <c r="M110" s="185">
        <v>2500</v>
      </c>
      <c r="N110" s="186"/>
      <c r="O110" s="184">
        <v>4000</v>
      </c>
      <c r="P110" s="165">
        <v>4000</v>
      </c>
      <c r="Q110" s="165">
        <v>2500</v>
      </c>
      <c r="R110" s="185">
        <v>2500</v>
      </c>
      <c r="S110" s="186"/>
      <c r="T110" s="188">
        <v>0</v>
      </c>
      <c r="U110" s="189"/>
      <c r="V110" s="111"/>
      <c r="W110" s="190"/>
      <c r="X110" s="191" t="e">
        <f>IF(#REF!=Matrices!$L$6,0,IF(N110&gt;C110,C110,N110))</f>
        <v>#REF!</v>
      </c>
      <c r="Y110" s="192" t="e">
        <f>IF(#REF!=Matrices!$L$6,0,IF(S110&gt;C110,C110,S110))</f>
        <v>#REF!</v>
      </c>
      <c r="Z110" s="111">
        <v>0</v>
      </c>
      <c r="AA110" s="190">
        <v>0</v>
      </c>
      <c r="AB110" s="193" t="e">
        <v>#REF!</v>
      </c>
      <c r="AC110" s="193" t="e">
        <f t="shared" si="15"/>
        <v>#REF!</v>
      </c>
      <c r="AD110" s="194" t="e">
        <f t="shared" si="16"/>
        <v>#REF!</v>
      </c>
      <c r="AE110" s="195" t="e">
        <f t="shared" si="17"/>
        <v>#REF!</v>
      </c>
      <c r="AF110" s="196">
        <v>0.15</v>
      </c>
      <c r="AG110" s="197">
        <v>6765</v>
      </c>
      <c r="AH110" s="176">
        <v>0.14817629179331307</v>
      </c>
      <c r="AI110" s="177">
        <v>6682.7507598784196</v>
      </c>
    </row>
    <row r="111" spans="1:35" ht="15.75" thickBot="1" x14ac:dyDescent="0.3">
      <c r="A111" s="2">
        <v>6</v>
      </c>
      <c r="B111" s="178" t="s">
        <v>248</v>
      </c>
      <c r="C111" s="179">
        <f>scénario_1!E25</f>
        <v>0</v>
      </c>
      <c r="D111" s="180">
        <v>5000</v>
      </c>
      <c r="E111" s="180">
        <v>4000</v>
      </c>
      <c r="F111" s="181">
        <v>3000</v>
      </c>
      <c r="G111" s="181">
        <v>0</v>
      </c>
      <c r="H111" s="182">
        <v>12000</v>
      </c>
      <c r="I111" s="183"/>
      <c r="J111" s="184">
        <v>4000</v>
      </c>
      <c r="K111" s="165">
        <v>4000</v>
      </c>
      <c r="L111" s="165">
        <v>2500</v>
      </c>
      <c r="M111" s="185">
        <v>2500</v>
      </c>
      <c r="N111" s="186"/>
      <c r="O111" s="184">
        <v>4000</v>
      </c>
      <c r="P111" s="165">
        <v>4000</v>
      </c>
      <c r="Q111" s="165">
        <v>2500</v>
      </c>
      <c r="R111" s="185">
        <v>2500</v>
      </c>
      <c r="S111" s="186"/>
      <c r="T111" s="188">
        <v>0</v>
      </c>
      <c r="U111" s="189"/>
      <c r="V111" s="111"/>
      <c r="W111" s="190"/>
      <c r="X111" s="191" t="e">
        <f>IF(#REF!=Matrices!$L$6,0,IF(N111&gt;C111,C111,N111))</f>
        <v>#REF!</v>
      </c>
      <c r="Y111" s="192" t="e">
        <f>IF(#REF!=Matrices!$L$6,0,IF(S111&gt;C111,C111,S111))</f>
        <v>#REF!</v>
      </c>
      <c r="Z111" s="111">
        <v>0</v>
      </c>
      <c r="AA111" s="190">
        <v>0</v>
      </c>
      <c r="AB111" s="193" t="e">
        <v>#REF!</v>
      </c>
      <c r="AC111" s="193" t="e">
        <f t="shared" si="15"/>
        <v>#REF!</v>
      </c>
      <c r="AD111" s="194" t="e">
        <f t="shared" si="16"/>
        <v>#REF!</v>
      </c>
      <c r="AE111" s="195" t="e">
        <f t="shared" si="17"/>
        <v>#REF!</v>
      </c>
      <c r="AF111" s="196">
        <v>0.15</v>
      </c>
      <c r="AG111" s="197">
        <v>6765</v>
      </c>
      <c r="AH111" s="176">
        <v>0.14817629179331307</v>
      </c>
      <c r="AI111" s="177">
        <v>6682.7507598784196</v>
      </c>
    </row>
    <row r="112" spans="1:35" ht="15.75" thickBot="1" x14ac:dyDescent="0.3">
      <c r="A112" s="2">
        <v>7</v>
      </c>
      <c r="B112" s="178" t="s">
        <v>249</v>
      </c>
      <c r="C112" s="179">
        <f>scénario_1!E26</f>
        <v>0</v>
      </c>
      <c r="D112" s="180">
        <v>1200</v>
      </c>
      <c r="E112" s="181">
        <v>800</v>
      </c>
      <c r="F112" s="181">
        <v>400</v>
      </c>
      <c r="G112" s="181">
        <v>0</v>
      </c>
      <c r="H112" s="182">
        <v>1800</v>
      </c>
      <c r="I112" s="183"/>
      <c r="J112" s="184">
        <v>700</v>
      </c>
      <c r="K112" s="165">
        <v>700</v>
      </c>
      <c r="L112" s="165">
        <v>450</v>
      </c>
      <c r="M112" s="185">
        <v>450</v>
      </c>
      <c r="N112" s="200"/>
      <c r="O112" s="184">
        <v>700</v>
      </c>
      <c r="P112" s="165">
        <v>700</v>
      </c>
      <c r="Q112" s="165">
        <v>450</v>
      </c>
      <c r="R112" s="185">
        <v>450</v>
      </c>
      <c r="S112" s="200"/>
      <c r="T112" s="188">
        <v>0</v>
      </c>
      <c r="U112" s="189"/>
      <c r="V112" s="111"/>
      <c r="W112" s="190"/>
      <c r="X112" s="191" t="e">
        <f>IF(#REF!=Matrices!$L$6,0,IF(N112&gt;C112,C112,N112))</f>
        <v>#REF!</v>
      </c>
      <c r="Y112" s="192" t="e">
        <f>IF(#REF!=Matrices!$L$6,0,IF(S112&gt;C112,C112,S112))</f>
        <v>#REF!</v>
      </c>
      <c r="Z112" s="111">
        <v>0</v>
      </c>
      <c r="AA112" s="190">
        <v>0</v>
      </c>
      <c r="AB112" s="193" t="e">
        <v>#REF!</v>
      </c>
      <c r="AC112" s="193" t="e">
        <f t="shared" si="15"/>
        <v>#REF!</v>
      </c>
      <c r="AD112" s="194" t="e">
        <f t="shared" si="16"/>
        <v>#REF!</v>
      </c>
      <c r="AE112" s="195" t="e">
        <f t="shared" si="17"/>
        <v>#REF!</v>
      </c>
      <c r="AF112" s="196">
        <v>0</v>
      </c>
      <c r="AG112" s="197">
        <v>0</v>
      </c>
      <c r="AH112" s="176">
        <v>0</v>
      </c>
      <c r="AI112" s="177">
        <v>0</v>
      </c>
    </row>
    <row r="113" spans="1:35" ht="15.75" thickBot="1" x14ac:dyDescent="0.3">
      <c r="A113" s="2">
        <v>8</v>
      </c>
      <c r="B113" s="201" t="s">
        <v>250</v>
      </c>
      <c r="C113" s="202">
        <f>scénario_1!E27</f>
        <v>0</v>
      </c>
      <c r="D113" s="203">
        <v>3500</v>
      </c>
      <c r="E113" s="204">
        <v>2500</v>
      </c>
      <c r="F113" s="204">
        <v>2000</v>
      </c>
      <c r="G113" s="204">
        <v>0</v>
      </c>
      <c r="H113" s="205">
        <v>6000</v>
      </c>
      <c r="I113" s="206"/>
      <c r="J113" s="207">
        <v>441</v>
      </c>
      <c r="K113" s="208">
        <v>220</v>
      </c>
      <c r="L113" s="208">
        <v>220</v>
      </c>
      <c r="M113" s="209">
        <v>220</v>
      </c>
      <c r="N113" s="210"/>
      <c r="O113" s="207">
        <v>441</v>
      </c>
      <c r="P113" s="208">
        <v>220</v>
      </c>
      <c r="Q113" s="208">
        <v>220</v>
      </c>
      <c r="R113" s="209">
        <v>220</v>
      </c>
      <c r="S113" s="210"/>
      <c r="T113" s="213">
        <v>0</v>
      </c>
      <c r="U113" s="214"/>
      <c r="V113" s="215"/>
      <c r="W113" s="216"/>
      <c r="X113" s="217" t="e">
        <f>IF(#REF!=Matrices!$L$6,0,IF(N113&gt;C113,C113,N113))</f>
        <v>#REF!</v>
      </c>
      <c r="Y113" s="218" t="e">
        <f>IF(#REF!=Matrices!$L$6,0,IF(S113&gt;C113,C113,S113))</f>
        <v>#REF!</v>
      </c>
      <c r="Z113" s="215">
        <v>0</v>
      </c>
      <c r="AA113" s="216">
        <v>0</v>
      </c>
      <c r="AB113" s="219" t="e">
        <v>#REF!</v>
      </c>
      <c r="AC113" s="219" t="e">
        <f t="shared" si="15"/>
        <v>#REF!</v>
      </c>
      <c r="AD113" s="220" t="e">
        <f t="shared" si="16"/>
        <v>#REF!</v>
      </c>
      <c r="AE113" s="221" t="e">
        <f t="shared" si="17"/>
        <v>#REF!</v>
      </c>
      <c r="AF113" s="196">
        <v>0.1</v>
      </c>
      <c r="AG113" s="197">
        <v>4510</v>
      </c>
      <c r="AH113" s="176">
        <v>9.8784194528875394E-2</v>
      </c>
      <c r="AI113" s="177">
        <v>4455.16717325228</v>
      </c>
    </row>
    <row r="114" spans="1:35" ht="15.75" thickBot="1" x14ac:dyDescent="0.3">
      <c r="A114" s="2">
        <v>9</v>
      </c>
      <c r="B114" s="222" t="s">
        <v>251</v>
      </c>
      <c r="C114" s="223">
        <f>scénario_1!E28</f>
        <v>0</v>
      </c>
      <c r="D114" s="224">
        <v>0</v>
      </c>
      <c r="E114" s="225">
        <v>0</v>
      </c>
      <c r="F114" s="225">
        <v>0</v>
      </c>
      <c r="G114" s="225">
        <v>0</v>
      </c>
      <c r="H114" s="226">
        <v>0</v>
      </c>
      <c r="I114" s="227"/>
      <c r="J114" s="228">
        <v>342</v>
      </c>
      <c r="K114" s="229">
        <v>171</v>
      </c>
      <c r="L114" s="229">
        <v>171</v>
      </c>
      <c r="M114" s="230">
        <v>171</v>
      </c>
      <c r="N114" s="231"/>
      <c r="O114" s="228">
        <v>342</v>
      </c>
      <c r="P114" s="229">
        <v>171</v>
      </c>
      <c r="Q114" s="229">
        <v>171</v>
      </c>
      <c r="R114" s="230">
        <v>171</v>
      </c>
      <c r="S114" s="231"/>
      <c r="T114" s="232">
        <v>0</v>
      </c>
      <c r="U114" s="233"/>
      <c r="V114" s="234"/>
      <c r="W114" s="235"/>
      <c r="X114" s="236" t="e">
        <f>IF(#REF!=Matrices!$L$6,0,IF(N114&gt;C114,C114,N114))</f>
        <v>#REF!</v>
      </c>
      <c r="Y114" s="237" t="e">
        <f>IF(#REF!=Matrices!$L$6,0,IF(S114&gt;C114,C114,S114))</f>
        <v>#REF!</v>
      </c>
      <c r="Z114" s="234">
        <v>0</v>
      </c>
      <c r="AA114" s="235">
        <v>0</v>
      </c>
      <c r="AB114" s="238" t="e">
        <v>#REF!</v>
      </c>
      <c r="AC114" s="238" t="e">
        <f t="shared" si="15"/>
        <v>#REF!</v>
      </c>
      <c r="AD114" s="239" t="e">
        <f t="shared" si="16"/>
        <v>#REF!</v>
      </c>
      <c r="AE114" s="240" t="e">
        <f t="shared" si="17"/>
        <v>#REF!</v>
      </c>
      <c r="AF114" s="196">
        <v>7.0000000000000007E-2</v>
      </c>
      <c r="AG114" s="197">
        <v>3157.0000000000005</v>
      </c>
      <c r="AH114" s="176">
        <v>6.9148936170212782E-2</v>
      </c>
      <c r="AI114" s="177">
        <v>3118.6170212765965</v>
      </c>
    </row>
    <row r="115" spans="1:35" ht="15.75" thickBot="1" x14ac:dyDescent="0.3">
      <c r="A115" s="2">
        <v>10</v>
      </c>
      <c r="B115" s="241" t="s">
        <v>252</v>
      </c>
      <c r="C115" s="242">
        <f>scénario_1!E29</f>
        <v>0</v>
      </c>
      <c r="D115" s="157">
        <v>3000</v>
      </c>
      <c r="E115" s="158">
        <v>2500</v>
      </c>
      <c r="F115" s="158">
        <v>1500</v>
      </c>
      <c r="G115" s="158">
        <v>0</v>
      </c>
      <c r="H115" s="159">
        <v>5000</v>
      </c>
      <c r="I115" s="160"/>
      <c r="J115" s="161">
        <v>450</v>
      </c>
      <c r="K115" s="162">
        <v>215</v>
      </c>
      <c r="L115" s="162">
        <v>215</v>
      </c>
      <c r="M115" s="163">
        <v>215</v>
      </c>
      <c r="N115" s="164"/>
      <c r="O115" s="161">
        <v>450</v>
      </c>
      <c r="P115" s="162">
        <v>215</v>
      </c>
      <c r="Q115" s="162">
        <v>215</v>
      </c>
      <c r="R115" s="163">
        <v>215</v>
      </c>
      <c r="S115" s="164"/>
      <c r="T115" s="244">
        <v>1</v>
      </c>
      <c r="U115" s="245">
        <f>IF(SUM(D208:D209)&lt;2,"",1000)</f>
        <v>1000</v>
      </c>
      <c r="V115" s="246">
        <v>0</v>
      </c>
      <c r="W115" s="247" t="e">
        <f>IF(OR(#REF!=Matrices!$L$6,Matrices!K99&lt;&gt;1),0,Matrices!F99)</f>
        <v>#REF!</v>
      </c>
      <c r="X115" s="169" t="e">
        <f>IF(OR(#REF!=Matrices!$L$6,N115+S115&lt;W115),0,IF(N115&gt;C115,C115,N115))</f>
        <v>#REF!</v>
      </c>
      <c r="Y115" s="170" t="e">
        <f>IF(OR(#REF!=Matrices!$L$6,N115+S115&lt;W115),0,IF(S115&gt;C115,C115,S115))</f>
        <v>#REF!</v>
      </c>
      <c r="Z115" s="170">
        <v>0</v>
      </c>
      <c r="AA115" s="247" t="e">
        <f>W115</f>
        <v>#REF!</v>
      </c>
      <c r="AB115" s="171" t="e">
        <v>#REF!</v>
      </c>
      <c r="AC115" s="171" t="e">
        <f t="shared" si="15"/>
        <v>#REF!</v>
      </c>
      <c r="AD115" s="248" t="e">
        <f t="shared" si="16"/>
        <v>#REF!</v>
      </c>
      <c r="AE115" s="249" t="e">
        <f t="shared" si="17"/>
        <v>#REF!</v>
      </c>
      <c r="AF115" s="196">
        <v>0.15</v>
      </c>
      <c r="AG115" s="197">
        <v>6765</v>
      </c>
      <c r="AH115" s="176">
        <v>0.14817629179331307</v>
      </c>
      <c r="AI115" s="177">
        <v>6682.7507598784196</v>
      </c>
    </row>
    <row r="116" spans="1:35" ht="15.75" thickBot="1" x14ac:dyDescent="0.3">
      <c r="A116" s="2">
        <v>11</v>
      </c>
      <c r="B116" s="178" t="s">
        <v>253</v>
      </c>
      <c r="C116" s="179">
        <f>scénario_1!E30</f>
        <v>0</v>
      </c>
      <c r="D116" s="180">
        <v>2500</v>
      </c>
      <c r="E116" s="181">
        <v>2000</v>
      </c>
      <c r="F116" s="181">
        <v>1000</v>
      </c>
      <c r="G116" s="181">
        <v>0</v>
      </c>
      <c r="H116" s="182">
        <v>4000</v>
      </c>
      <c r="I116" s="183"/>
      <c r="J116" s="161">
        <v>450</v>
      </c>
      <c r="K116" s="162">
        <v>215</v>
      </c>
      <c r="L116" s="162">
        <v>215</v>
      </c>
      <c r="M116" s="163">
        <v>215</v>
      </c>
      <c r="N116" s="186"/>
      <c r="O116" s="161">
        <v>450</v>
      </c>
      <c r="P116" s="162">
        <v>215</v>
      </c>
      <c r="Q116" s="162">
        <v>215</v>
      </c>
      <c r="R116" s="163">
        <v>215</v>
      </c>
      <c r="S116" s="186"/>
      <c r="T116" s="198">
        <v>1</v>
      </c>
      <c r="U116" s="191">
        <f>IF(SUM(D208:D209)&lt;2,"",1000)</f>
        <v>1000</v>
      </c>
      <c r="V116" s="250">
        <v>0</v>
      </c>
      <c r="W116" s="247" t="e">
        <f>IF(OR(#REF!=Matrices!$L$6,Matrices!K100&lt;&gt;1),0,Matrices!F100)</f>
        <v>#REF!</v>
      </c>
      <c r="X116" s="191" t="e">
        <f>IF(OR(#REF!=Matrices!$L$6,N116+S116&lt;W116),0,N116)</f>
        <v>#REF!</v>
      </c>
      <c r="Y116" s="251" t="e">
        <f>IF(OR(#REF!=Matrices!$L$6,N116+S116&lt;W116),0,IF(S116&gt;C116,C116,S116))</f>
        <v>#REF!</v>
      </c>
      <c r="Z116" s="251">
        <v>0</v>
      </c>
      <c r="AA116" s="247" t="e">
        <f>W116</f>
        <v>#REF!</v>
      </c>
      <c r="AB116" s="193" t="e">
        <v>#REF!</v>
      </c>
      <c r="AC116" s="193" t="e">
        <f t="shared" si="15"/>
        <v>#REF!</v>
      </c>
      <c r="AD116" s="194" t="e">
        <f t="shared" si="16"/>
        <v>#REF!</v>
      </c>
      <c r="AE116" s="195" t="e">
        <f t="shared" si="17"/>
        <v>#REF!</v>
      </c>
      <c r="AF116" s="196">
        <v>0.1</v>
      </c>
      <c r="AG116" s="197">
        <v>4510</v>
      </c>
      <c r="AH116" s="176">
        <v>9.8784194528875394E-2</v>
      </c>
      <c r="AI116" s="177">
        <v>4455.16717325228</v>
      </c>
    </row>
    <row r="117" spans="1:35" ht="15.75" thickBot="1" x14ac:dyDescent="0.3">
      <c r="A117" s="2">
        <v>12</v>
      </c>
      <c r="B117" s="178" t="s">
        <v>254</v>
      </c>
      <c r="C117" s="179">
        <f>scénario_1!E31</f>
        <v>0</v>
      </c>
      <c r="D117" s="180">
        <v>2500</v>
      </c>
      <c r="E117" s="181">
        <v>2000</v>
      </c>
      <c r="F117" s="181">
        <v>1000</v>
      </c>
      <c r="G117" s="181">
        <v>0</v>
      </c>
      <c r="H117" s="182">
        <v>4000</v>
      </c>
      <c r="I117" s="183"/>
      <c r="J117" s="184">
        <v>251</v>
      </c>
      <c r="K117" s="165">
        <v>125</v>
      </c>
      <c r="L117" s="165">
        <v>125</v>
      </c>
      <c r="M117" s="185">
        <v>125</v>
      </c>
      <c r="N117" s="186"/>
      <c r="O117" s="184">
        <v>251</v>
      </c>
      <c r="P117" s="165">
        <v>125</v>
      </c>
      <c r="Q117" s="165">
        <v>125</v>
      </c>
      <c r="R117" s="185">
        <v>125</v>
      </c>
      <c r="S117" s="186"/>
      <c r="T117" s="188">
        <v>0</v>
      </c>
      <c r="U117" s="252"/>
      <c r="V117" s="111"/>
      <c r="W117" s="190"/>
      <c r="X117" s="191" t="e">
        <f>IF(#REF!=Matrices!$L$6,0,IF(N117&gt;C117,C117,N117))</f>
        <v>#REF!</v>
      </c>
      <c r="Y117" s="192" t="e">
        <f>IF(#REF!=Matrices!$L$6,0,IF(S117&gt;C117,C117,S117))</f>
        <v>#REF!</v>
      </c>
      <c r="Z117" s="111">
        <v>0</v>
      </c>
      <c r="AA117" s="190">
        <v>0</v>
      </c>
      <c r="AB117" s="193" t="e">
        <v>#REF!</v>
      </c>
      <c r="AC117" s="193" t="e">
        <f t="shared" si="15"/>
        <v>#REF!</v>
      </c>
      <c r="AD117" s="194" t="e">
        <f t="shared" si="16"/>
        <v>#REF!</v>
      </c>
      <c r="AE117" s="195" t="e">
        <f t="shared" si="17"/>
        <v>#REF!</v>
      </c>
      <c r="AF117" s="196">
        <v>0.1</v>
      </c>
      <c r="AG117" s="197">
        <v>4510</v>
      </c>
      <c r="AH117" s="176">
        <v>9.8784194528875394E-2</v>
      </c>
      <c r="AI117" s="177">
        <v>4455.16717325228</v>
      </c>
    </row>
    <row r="118" spans="1:35" ht="15.75" thickBot="1" x14ac:dyDescent="0.3">
      <c r="A118" s="2">
        <v>13</v>
      </c>
      <c r="B118" s="201" t="s">
        <v>255</v>
      </c>
      <c r="C118" s="253">
        <f>scénario_1!E32</f>
        <v>0</v>
      </c>
      <c r="D118" s="203">
        <v>2000</v>
      </c>
      <c r="E118" s="204">
        <v>1200</v>
      </c>
      <c r="F118" s="204">
        <v>600</v>
      </c>
      <c r="G118" s="204">
        <v>0</v>
      </c>
      <c r="H118" s="205">
        <v>4000</v>
      </c>
      <c r="I118" s="206"/>
      <c r="J118" s="207">
        <v>73</v>
      </c>
      <c r="K118" s="208">
        <v>73</v>
      </c>
      <c r="L118" s="208">
        <v>45</v>
      </c>
      <c r="M118" s="209">
        <v>45</v>
      </c>
      <c r="N118" s="254"/>
      <c r="O118" s="207">
        <v>73</v>
      </c>
      <c r="P118" s="208">
        <v>73</v>
      </c>
      <c r="Q118" s="208">
        <v>45</v>
      </c>
      <c r="R118" s="209">
        <v>45</v>
      </c>
      <c r="S118" s="254"/>
      <c r="T118" s="213">
        <v>0</v>
      </c>
      <c r="U118" s="214"/>
      <c r="V118" s="215"/>
      <c r="W118" s="255" t="e">
        <f>IF(OR(#REF!=Matrices!$L$6,Matrices!K101&lt;&gt;1),0,Matrices!F101)</f>
        <v>#REF!</v>
      </c>
      <c r="X118" s="256" t="e">
        <f>IF(OR(#REF!=Matrices!$L$6,N118+S118&lt;W118),0,N118)</f>
        <v>#REF!</v>
      </c>
      <c r="Y118" s="257" t="e">
        <f>IF(OR(#REF!=Matrices!$L$6,N118+S118&lt;W118),0,IF(S118&gt;C118,C118,S118))</f>
        <v>#REF!</v>
      </c>
      <c r="Z118" s="258">
        <v>0</v>
      </c>
      <c r="AA118" s="255" t="e">
        <f>W118</f>
        <v>#REF!</v>
      </c>
      <c r="AB118" s="259" t="e">
        <v>#REF!</v>
      </c>
      <c r="AC118" s="259" t="e">
        <f t="shared" si="15"/>
        <v>#REF!</v>
      </c>
      <c r="AD118" s="220" t="e">
        <f t="shared" si="16"/>
        <v>#REF!</v>
      </c>
      <c r="AE118" s="221" t="e">
        <f t="shared" si="17"/>
        <v>#REF!</v>
      </c>
      <c r="AF118" s="196">
        <v>0.1</v>
      </c>
      <c r="AG118" s="197">
        <v>4510</v>
      </c>
      <c r="AH118" s="176">
        <v>9.8784194528875394E-2</v>
      </c>
      <c r="AI118" s="177">
        <v>4455.16717325228</v>
      </c>
    </row>
    <row r="119" spans="1:35" ht="15" customHeight="1" thickBot="1" x14ac:dyDescent="0.3">
      <c r="A119" s="2">
        <v>14</v>
      </c>
      <c r="B119" s="241" t="s">
        <v>256</v>
      </c>
      <c r="C119" s="156">
        <f>scénario_1!E33</f>
        <v>0</v>
      </c>
      <c r="D119" s="157">
        <v>0</v>
      </c>
      <c r="E119" s="158">
        <v>0</v>
      </c>
      <c r="F119" s="158">
        <v>0</v>
      </c>
      <c r="G119" s="158">
        <v>0</v>
      </c>
      <c r="H119" s="159">
        <v>4000</v>
      </c>
      <c r="I119" s="187"/>
      <c r="J119" s="161">
        <v>300</v>
      </c>
      <c r="K119" s="162">
        <v>300</v>
      </c>
      <c r="L119" s="162">
        <v>150</v>
      </c>
      <c r="M119" s="163">
        <v>150</v>
      </c>
      <c r="N119" s="260"/>
      <c r="O119" s="161">
        <v>300</v>
      </c>
      <c r="P119" s="162">
        <v>300</v>
      </c>
      <c r="Q119" s="162">
        <v>150</v>
      </c>
      <c r="R119" s="163">
        <v>150</v>
      </c>
      <c r="S119" s="260"/>
      <c r="T119" s="262">
        <v>1</v>
      </c>
      <c r="U119" s="169">
        <f>IF(SUM(D208:D209)&lt;2,"",1000)</f>
        <v>1000</v>
      </c>
      <c r="V119" s="263">
        <v>0</v>
      </c>
      <c r="W119" s="168"/>
      <c r="X119" s="245" t="e">
        <f>IF(#REF!=Matrices!$L$6,0,IF(N119&gt;C119,C119,N119))</f>
        <v>#REF!</v>
      </c>
      <c r="Y119" s="251" t="e">
        <f>IF(#REF!=Matrices!$L$6,0,IF(S119&gt;C119,C119,S119))</f>
        <v>#REF!</v>
      </c>
      <c r="Z119" s="251">
        <v>0</v>
      </c>
      <c r="AA119" s="168">
        <v>0</v>
      </c>
      <c r="AB119" s="264" t="e">
        <v>#REF!</v>
      </c>
      <c r="AC119" s="264" t="e">
        <f t="shared" si="15"/>
        <v>#REF!</v>
      </c>
      <c r="AD119" s="172" t="e">
        <f t="shared" si="16"/>
        <v>#REF!</v>
      </c>
      <c r="AE119" s="173" t="e">
        <f t="shared" si="17"/>
        <v>#REF!</v>
      </c>
      <c r="AF119" s="196">
        <v>0.2</v>
      </c>
      <c r="AG119" s="197">
        <v>9020</v>
      </c>
      <c r="AH119" s="176">
        <v>0.19756838905775079</v>
      </c>
      <c r="AI119" s="177">
        <v>8910.33434650456</v>
      </c>
    </row>
    <row r="120" spans="1:35" ht="15" customHeight="1" thickBot="1" x14ac:dyDescent="0.3">
      <c r="A120" s="2">
        <v>15</v>
      </c>
      <c r="B120" s="201" t="s">
        <v>257</v>
      </c>
      <c r="C120" s="202">
        <f>scénario_1!E34</f>
        <v>0</v>
      </c>
      <c r="D120" s="203">
        <v>1200</v>
      </c>
      <c r="E120" s="204">
        <v>800</v>
      </c>
      <c r="F120" s="204">
        <v>400</v>
      </c>
      <c r="G120" s="204">
        <v>0</v>
      </c>
      <c r="H120" s="205">
        <v>4000</v>
      </c>
      <c r="I120" s="265"/>
      <c r="J120" s="207">
        <v>0</v>
      </c>
      <c r="K120" s="208">
        <v>0</v>
      </c>
      <c r="L120" s="208">
        <v>0</v>
      </c>
      <c r="M120" s="209">
        <v>0</v>
      </c>
      <c r="N120" s="210"/>
      <c r="O120" s="207">
        <v>0</v>
      </c>
      <c r="P120" s="208">
        <v>0</v>
      </c>
      <c r="Q120" s="208">
        <v>0</v>
      </c>
      <c r="R120" s="209">
        <v>0</v>
      </c>
      <c r="S120" s="210"/>
      <c r="T120" s="266">
        <v>0</v>
      </c>
      <c r="U120" s="267"/>
      <c r="V120" s="128"/>
      <c r="W120" s="268"/>
      <c r="X120" s="256" t="e">
        <f>IF(#REF!=Matrices!$L$6,0,IF(N120&gt;C120,C120,N120))</f>
        <v>#REF!</v>
      </c>
      <c r="Y120" s="269" t="e">
        <f>IF(#REF!=Matrices!$L$6,0,IF(S120&gt;C120,C120,S120))</f>
        <v>#REF!</v>
      </c>
      <c r="Z120" s="128">
        <v>0</v>
      </c>
      <c r="AA120" s="268">
        <v>0</v>
      </c>
      <c r="AB120" s="259" t="e">
        <v>#REF!</v>
      </c>
      <c r="AC120" s="259" t="e">
        <f t="shared" si="15"/>
        <v>#REF!</v>
      </c>
      <c r="AD120" s="270" t="e">
        <f t="shared" si="16"/>
        <v>#REF!</v>
      </c>
      <c r="AE120" s="271" t="e">
        <f t="shared" si="17"/>
        <v>#REF!</v>
      </c>
      <c r="AF120" s="196">
        <v>0</v>
      </c>
      <c r="AG120" s="197">
        <v>0</v>
      </c>
      <c r="AH120" s="176">
        <v>0</v>
      </c>
      <c r="AI120" s="177">
        <v>0</v>
      </c>
    </row>
    <row r="121" spans="1:35" ht="15" customHeight="1" thickBot="1" x14ac:dyDescent="0.3">
      <c r="B121" s="222" t="s">
        <v>484</v>
      </c>
      <c r="C121" s="436">
        <f>scénario_1!E35</f>
        <v>0</v>
      </c>
      <c r="D121" s="224">
        <v>0</v>
      </c>
      <c r="E121" s="225">
        <v>0</v>
      </c>
      <c r="F121" s="225">
        <v>0</v>
      </c>
      <c r="G121" s="225">
        <v>0</v>
      </c>
      <c r="H121" s="226">
        <v>0</v>
      </c>
      <c r="I121" s="227"/>
      <c r="J121" s="228">
        <v>900</v>
      </c>
      <c r="K121" s="229">
        <v>450</v>
      </c>
      <c r="L121" s="229">
        <v>450</v>
      </c>
      <c r="M121" s="230">
        <v>450</v>
      </c>
      <c r="N121" s="231"/>
      <c r="O121" s="228">
        <v>900</v>
      </c>
      <c r="P121" s="229">
        <v>450</v>
      </c>
      <c r="Q121" s="229">
        <v>450</v>
      </c>
      <c r="R121" s="230">
        <v>450</v>
      </c>
      <c r="S121" s="231"/>
      <c r="T121" s="437"/>
      <c r="U121" s="438"/>
      <c r="V121" s="439"/>
      <c r="W121" s="440"/>
      <c r="X121" s="441"/>
      <c r="Y121" s="442"/>
      <c r="Z121" s="439"/>
      <c r="AA121" s="440"/>
      <c r="AB121" s="443"/>
      <c r="AC121" s="443"/>
      <c r="AD121" s="444"/>
      <c r="AE121" s="445"/>
      <c r="AF121" s="196"/>
      <c r="AG121" s="197"/>
      <c r="AH121" s="176"/>
      <c r="AI121" s="177"/>
    </row>
    <row r="122" spans="1:35" ht="15" customHeight="1" thickBot="1" x14ac:dyDescent="0.3">
      <c r="A122" s="2">
        <v>16</v>
      </c>
      <c r="B122" s="241" t="s">
        <v>258</v>
      </c>
      <c r="C122" s="242">
        <f>scénario_1!E36</f>
        <v>0</v>
      </c>
      <c r="D122" s="157">
        <v>4000</v>
      </c>
      <c r="E122" s="158">
        <v>3000</v>
      </c>
      <c r="F122" s="158">
        <v>2000</v>
      </c>
      <c r="G122" s="158">
        <v>0</v>
      </c>
      <c r="H122" s="159">
        <v>7000</v>
      </c>
      <c r="I122" s="160"/>
      <c r="J122" s="161">
        <v>275</v>
      </c>
      <c r="K122" s="161">
        <v>137</v>
      </c>
      <c r="L122" s="162">
        <v>137</v>
      </c>
      <c r="M122" s="243">
        <v>137</v>
      </c>
      <c r="N122" s="260"/>
      <c r="O122" s="161">
        <v>275</v>
      </c>
      <c r="P122" s="161">
        <v>137</v>
      </c>
      <c r="Q122" s="162">
        <v>137</v>
      </c>
      <c r="R122" s="243">
        <v>137</v>
      </c>
      <c r="S122" s="260"/>
      <c r="T122" s="244">
        <v>0.7</v>
      </c>
      <c r="U122" s="245">
        <f>IF(SUM(D208:D209)&lt;2,"",1000)</f>
        <v>1000</v>
      </c>
      <c r="V122" s="272">
        <v>0</v>
      </c>
      <c r="W122" s="273"/>
      <c r="X122" s="169" t="e">
        <f>IF(#REF!=Matrices!$L$6,0,IF(N122&gt;C122,C122,N122))</f>
        <v>#REF!</v>
      </c>
      <c r="Y122" s="170" t="e">
        <f>IF(#REF!=Matrices!$L$6,0,IF(S122&gt;C122,C122,S122))</f>
        <v>#REF!</v>
      </c>
      <c r="Z122" s="170">
        <v>0</v>
      </c>
      <c r="AA122" s="273">
        <v>0</v>
      </c>
      <c r="AB122" s="171" t="e">
        <v>#REF!</v>
      </c>
      <c r="AC122" s="171" t="e">
        <f t="shared" si="15"/>
        <v>#REF!</v>
      </c>
      <c r="AD122" s="172" t="e">
        <f t="shared" si="16"/>
        <v>#REF!</v>
      </c>
      <c r="AE122" s="173" t="e">
        <f t="shared" si="17"/>
        <v>#REF!</v>
      </c>
      <c r="AF122" s="196">
        <v>0.1</v>
      </c>
      <c r="AG122" s="197">
        <v>4510</v>
      </c>
      <c r="AH122" s="176">
        <v>9.8784194528875394E-2</v>
      </c>
      <c r="AI122" s="177">
        <v>4455.16717325228</v>
      </c>
    </row>
    <row r="123" spans="1:35" ht="15" customHeight="1" thickBot="1" x14ac:dyDescent="0.3">
      <c r="A123" s="2">
        <v>17</v>
      </c>
      <c r="B123" s="201" t="s">
        <v>259</v>
      </c>
      <c r="C123" s="253">
        <f>scénario_1!E37</f>
        <v>0</v>
      </c>
      <c r="D123" s="203">
        <v>1200</v>
      </c>
      <c r="E123" s="204">
        <v>800</v>
      </c>
      <c r="F123" s="204">
        <v>400</v>
      </c>
      <c r="G123" s="204">
        <v>0</v>
      </c>
      <c r="H123" s="205">
        <v>3500</v>
      </c>
      <c r="I123" s="206"/>
      <c r="J123" s="207">
        <v>168</v>
      </c>
      <c r="K123" s="207">
        <v>84</v>
      </c>
      <c r="L123" s="208">
        <v>84</v>
      </c>
      <c r="M123" s="211">
        <v>84</v>
      </c>
      <c r="N123" s="210"/>
      <c r="O123" s="207">
        <v>168</v>
      </c>
      <c r="P123" s="207">
        <v>84</v>
      </c>
      <c r="Q123" s="208">
        <v>84</v>
      </c>
      <c r="R123" s="211">
        <v>84</v>
      </c>
      <c r="S123" s="210"/>
      <c r="T123" s="213">
        <v>0</v>
      </c>
      <c r="U123" s="274"/>
      <c r="V123" s="215"/>
      <c r="W123" s="216"/>
      <c r="X123" s="256" t="e">
        <f>IF(#REF!=Matrices!$L$6,0,IF(N123&gt;C123,C123,N123))</f>
        <v>#REF!</v>
      </c>
      <c r="Y123" s="269" t="e">
        <f>IF(#REF!=Matrices!$L$6,0,IF(S123&gt;C123,C123,S123))</f>
        <v>#REF!</v>
      </c>
      <c r="Z123" s="128">
        <v>0</v>
      </c>
      <c r="AA123" s="216">
        <v>0</v>
      </c>
      <c r="AB123" s="259" t="e">
        <v>#REF!</v>
      </c>
      <c r="AC123" s="259" t="e">
        <f t="shared" si="15"/>
        <v>#REF!</v>
      </c>
      <c r="AD123" s="270" t="e">
        <f t="shared" si="16"/>
        <v>#REF!</v>
      </c>
      <c r="AE123" s="271" t="e">
        <f t="shared" si="17"/>
        <v>#REF!</v>
      </c>
      <c r="AF123" s="196">
        <v>0.1</v>
      </c>
      <c r="AG123" s="197">
        <v>4510</v>
      </c>
      <c r="AH123" s="176">
        <v>9.8784194528875394E-2</v>
      </c>
      <c r="AI123" s="177">
        <v>4455.16717325228</v>
      </c>
    </row>
    <row r="124" spans="1:35" ht="15" customHeight="1" thickBot="1" x14ac:dyDescent="0.3">
      <c r="A124" s="2">
        <v>18</v>
      </c>
      <c r="B124" s="241" t="s">
        <v>260</v>
      </c>
      <c r="C124" s="156">
        <f>scénario_1!E38</f>
        <v>0</v>
      </c>
      <c r="D124" s="275">
        <v>75</v>
      </c>
      <c r="E124" s="276">
        <v>60</v>
      </c>
      <c r="F124" s="276">
        <v>40</v>
      </c>
      <c r="G124" s="276">
        <v>0</v>
      </c>
      <c r="H124" s="277">
        <v>150</v>
      </c>
      <c r="I124" s="187"/>
      <c r="J124" s="278">
        <v>10</v>
      </c>
      <c r="K124" s="278">
        <v>10</v>
      </c>
      <c r="L124" s="278">
        <v>10</v>
      </c>
      <c r="M124" s="278">
        <v>10</v>
      </c>
      <c r="N124" s="160"/>
      <c r="O124" s="278">
        <v>10</v>
      </c>
      <c r="P124" s="278">
        <v>10</v>
      </c>
      <c r="Q124" s="278">
        <v>10</v>
      </c>
      <c r="R124" s="278">
        <v>10</v>
      </c>
      <c r="S124" s="160"/>
      <c r="T124" s="262">
        <v>0.4</v>
      </c>
      <c r="U124" s="169">
        <v>1500</v>
      </c>
      <c r="V124" s="281">
        <v>0</v>
      </c>
      <c r="W124" s="168"/>
      <c r="X124" s="169" t="e">
        <f>IF(#REF!=Matrices!$L$6,0,IF(N124&gt;C124,C124,N124))</f>
        <v>#REF!</v>
      </c>
      <c r="Y124" s="170" t="e">
        <f>IF(#REF!=Matrices!$L$6,0,IF(S124&gt;C124,C124,S124))</f>
        <v>#REF!</v>
      </c>
      <c r="Z124" s="170">
        <v>0</v>
      </c>
      <c r="AA124" s="168">
        <v>0</v>
      </c>
      <c r="AB124" s="171" t="e">
        <v>#REF!</v>
      </c>
      <c r="AC124" s="171" t="e">
        <f t="shared" si="15"/>
        <v>#REF!</v>
      </c>
      <c r="AD124" s="172" t="e">
        <f t="shared" si="16"/>
        <v>#REF!</v>
      </c>
      <c r="AE124" s="173" t="e">
        <f t="shared" si="17"/>
        <v>#REF!</v>
      </c>
      <c r="AF124" s="196">
        <v>0.25</v>
      </c>
      <c r="AG124" s="197">
        <v>11275</v>
      </c>
      <c r="AH124" s="176">
        <v>0.24696048632218845</v>
      </c>
      <c r="AI124" s="177">
        <v>11137.917933130699</v>
      </c>
    </row>
    <row r="125" spans="1:35" ht="15.75" thickBot="1" x14ac:dyDescent="0.3">
      <c r="A125" s="2">
        <v>19</v>
      </c>
      <c r="B125" s="178" t="s">
        <v>261</v>
      </c>
      <c r="C125" s="179">
        <f>scénario_1!E39</f>
        <v>1400</v>
      </c>
      <c r="D125" s="278">
        <v>25</v>
      </c>
      <c r="E125" s="279">
        <v>20</v>
      </c>
      <c r="F125" s="279">
        <v>15</v>
      </c>
      <c r="G125" s="279">
        <v>0</v>
      </c>
      <c r="H125" s="280">
        <v>70</v>
      </c>
      <c r="I125" s="183"/>
      <c r="J125" s="278">
        <v>10</v>
      </c>
      <c r="K125" s="278">
        <v>10</v>
      </c>
      <c r="L125" s="278">
        <v>10</v>
      </c>
      <c r="M125" s="278">
        <v>10</v>
      </c>
      <c r="N125" s="187"/>
      <c r="O125" s="278">
        <v>10</v>
      </c>
      <c r="P125" s="278">
        <v>10</v>
      </c>
      <c r="Q125" s="278">
        <v>10</v>
      </c>
      <c r="R125" s="278">
        <v>10</v>
      </c>
      <c r="S125" s="187"/>
      <c r="T125" s="198">
        <v>0.4</v>
      </c>
      <c r="U125" s="191">
        <v>1500</v>
      </c>
      <c r="V125" s="282">
        <v>0</v>
      </c>
      <c r="W125" s="190"/>
      <c r="X125" s="191" t="e">
        <f>IF(#REF!=Matrices!$L$6,0,IF(N125&gt;C125,C125,N125))</f>
        <v>#REF!</v>
      </c>
      <c r="Y125" s="192" t="e">
        <f>IF(#REF!=Matrices!$L$6,0,IF(S125&gt;C125,C125,S125))</f>
        <v>#REF!</v>
      </c>
      <c r="Z125" s="192">
        <v>0</v>
      </c>
      <c r="AA125" s="190">
        <v>0</v>
      </c>
      <c r="AB125" s="193" t="e">
        <v>#REF!</v>
      </c>
      <c r="AC125" s="193" t="e">
        <f t="shared" si="15"/>
        <v>#REF!</v>
      </c>
      <c r="AD125" s="194" t="e">
        <f>IF(C125="",0,IF(AC125&gt;AB125,0,AB125-AC125))</f>
        <v>#REF!</v>
      </c>
      <c r="AE125" s="195" t="e">
        <f t="shared" si="17"/>
        <v>#REF!</v>
      </c>
      <c r="AF125" s="196">
        <v>0.2</v>
      </c>
      <c r="AG125" s="197">
        <v>9020</v>
      </c>
      <c r="AH125" s="176">
        <v>0.19756838905775079</v>
      </c>
      <c r="AI125" s="177">
        <v>8910.33434650456</v>
      </c>
    </row>
    <row r="126" spans="1:35" ht="15.75" thickBot="1" x14ac:dyDescent="0.3">
      <c r="A126" s="2">
        <v>20</v>
      </c>
      <c r="B126" s="178" t="s">
        <v>262</v>
      </c>
      <c r="C126" s="179">
        <f>scénario_1!E40</f>
        <v>11200</v>
      </c>
      <c r="D126" s="278">
        <v>75</v>
      </c>
      <c r="E126" s="279">
        <v>60</v>
      </c>
      <c r="F126" s="279">
        <v>40</v>
      </c>
      <c r="G126" s="279">
        <v>0</v>
      </c>
      <c r="H126" s="280">
        <v>180</v>
      </c>
      <c r="I126" s="183"/>
      <c r="J126" s="446">
        <v>10</v>
      </c>
      <c r="K126" s="446">
        <v>10</v>
      </c>
      <c r="L126" s="446">
        <v>10</v>
      </c>
      <c r="M126" s="446">
        <v>10</v>
      </c>
      <c r="N126" s="187"/>
      <c r="O126" s="446">
        <v>10</v>
      </c>
      <c r="P126" s="446">
        <v>10</v>
      </c>
      <c r="Q126" s="446">
        <v>10</v>
      </c>
      <c r="R126" s="446">
        <v>10</v>
      </c>
      <c r="S126" s="187"/>
      <c r="T126" s="198">
        <v>0.4</v>
      </c>
      <c r="U126" s="191">
        <v>1500</v>
      </c>
      <c r="V126" s="282">
        <v>0</v>
      </c>
      <c r="W126" s="190"/>
      <c r="X126" s="191" t="e">
        <f>IF(#REF!=Matrices!$L$6,0,IF(N126&gt;C126,C126,N126))</f>
        <v>#REF!</v>
      </c>
      <c r="Y126" s="192" t="e">
        <f>IF(#REF!=Matrices!$L$6,0,IF(S126&gt;C126,C126,S126))</f>
        <v>#REF!</v>
      </c>
      <c r="Z126" s="192">
        <v>0</v>
      </c>
      <c r="AA126" s="190">
        <v>0</v>
      </c>
      <c r="AB126" s="193" t="e">
        <v>#REF!</v>
      </c>
      <c r="AC126" s="193" t="e">
        <f t="shared" si="15"/>
        <v>#REF!</v>
      </c>
      <c r="AD126" s="194" t="e">
        <f t="shared" si="16"/>
        <v>#REF!</v>
      </c>
      <c r="AE126" s="195" t="e">
        <f t="shared" si="17"/>
        <v>#REF!</v>
      </c>
      <c r="AF126" s="196">
        <v>0.25</v>
      </c>
      <c r="AG126" s="197">
        <v>11275</v>
      </c>
      <c r="AH126" s="176">
        <v>0.24696048632218845</v>
      </c>
      <c r="AI126" s="177">
        <v>11137.917933130699</v>
      </c>
    </row>
    <row r="127" spans="1:35" ht="15.75" thickBot="1" x14ac:dyDescent="0.3">
      <c r="A127" s="2">
        <v>21</v>
      </c>
      <c r="B127" s="178" t="s">
        <v>263</v>
      </c>
      <c r="C127" s="179">
        <f>scénario_1!E41</f>
        <v>0</v>
      </c>
      <c r="D127" s="278">
        <v>25</v>
      </c>
      <c r="E127" s="279">
        <v>20</v>
      </c>
      <c r="F127" s="279">
        <v>15</v>
      </c>
      <c r="G127" s="279">
        <v>0</v>
      </c>
      <c r="H127" s="280">
        <v>75</v>
      </c>
      <c r="I127" s="183"/>
      <c r="J127" s="446">
        <v>10</v>
      </c>
      <c r="K127" s="446">
        <v>10</v>
      </c>
      <c r="L127" s="446">
        <v>10</v>
      </c>
      <c r="M127" s="446">
        <v>10</v>
      </c>
      <c r="N127" s="187"/>
      <c r="O127" s="446">
        <v>10</v>
      </c>
      <c r="P127" s="446">
        <v>10</v>
      </c>
      <c r="Q127" s="446">
        <v>10</v>
      </c>
      <c r="R127" s="446">
        <v>10</v>
      </c>
      <c r="S127" s="187"/>
      <c r="T127" s="198">
        <v>0.4</v>
      </c>
      <c r="U127" s="191">
        <v>1500</v>
      </c>
      <c r="V127" s="282">
        <v>0</v>
      </c>
      <c r="W127" s="190"/>
      <c r="X127" s="191" t="e">
        <f>IF(#REF!=Matrices!$L$6,0,IF(N127&gt;C127,C127,N127))</f>
        <v>#REF!</v>
      </c>
      <c r="Y127" s="192" t="e">
        <f>IF(#REF!=Matrices!$L$6,0,IF(S127&gt;C127,C127,S127))</f>
        <v>#REF!</v>
      </c>
      <c r="Z127" s="192">
        <v>0</v>
      </c>
      <c r="AA127" s="190">
        <v>0</v>
      </c>
      <c r="AB127" s="193" t="e">
        <v>#REF!</v>
      </c>
      <c r="AC127" s="193" t="e">
        <f t="shared" si="15"/>
        <v>#REF!</v>
      </c>
      <c r="AD127" s="194" t="e">
        <f t="shared" si="16"/>
        <v>#REF!</v>
      </c>
      <c r="AE127" s="195" t="e">
        <f t="shared" si="17"/>
        <v>#REF!</v>
      </c>
      <c r="AF127" s="196">
        <v>0.25</v>
      </c>
      <c r="AG127" s="197">
        <v>11275</v>
      </c>
      <c r="AH127" s="176">
        <v>0.24696048632218845</v>
      </c>
      <c r="AI127" s="177">
        <v>11137.917933130699</v>
      </c>
    </row>
    <row r="128" spans="1:35" ht="15.75" thickBot="1" x14ac:dyDescent="0.3">
      <c r="A128" s="2">
        <v>22</v>
      </c>
      <c r="B128" s="178" t="s">
        <v>264</v>
      </c>
      <c r="C128" s="179">
        <f>scénario_1!E42</f>
        <v>0</v>
      </c>
      <c r="D128" s="278">
        <v>0</v>
      </c>
      <c r="E128" s="279">
        <v>0</v>
      </c>
      <c r="F128" s="279">
        <v>15</v>
      </c>
      <c r="G128" s="279">
        <v>0</v>
      </c>
      <c r="H128" s="280">
        <v>0</v>
      </c>
      <c r="I128" s="183"/>
      <c r="J128" s="446">
        <v>10</v>
      </c>
      <c r="K128" s="446">
        <v>10</v>
      </c>
      <c r="L128" s="446">
        <v>10</v>
      </c>
      <c r="M128" s="446">
        <v>10</v>
      </c>
      <c r="N128" s="187"/>
      <c r="O128" s="446">
        <v>10</v>
      </c>
      <c r="P128" s="446">
        <v>10</v>
      </c>
      <c r="Q128" s="446">
        <v>10</v>
      </c>
      <c r="R128" s="446">
        <v>10</v>
      </c>
      <c r="S128" s="187"/>
      <c r="T128" s="198">
        <v>0.4</v>
      </c>
      <c r="U128" s="191">
        <v>1500</v>
      </c>
      <c r="V128" s="282">
        <v>0</v>
      </c>
      <c r="W128" s="190"/>
      <c r="X128" s="191" t="e">
        <f>IF(#REF!=Matrices!$L$6,0,IF(N128&gt;C128,C128,N128))</f>
        <v>#REF!</v>
      </c>
      <c r="Y128" s="192" t="e">
        <f>IF(#REF!=Matrices!$L$6,0,IF(S128&gt;C128,C128,S128))</f>
        <v>#REF!</v>
      </c>
      <c r="Z128" s="192">
        <v>0</v>
      </c>
      <c r="AA128" s="190">
        <v>0</v>
      </c>
      <c r="AB128" s="193" t="e">
        <v>#REF!</v>
      </c>
      <c r="AC128" s="193" t="e">
        <f t="shared" si="15"/>
        <v>#REF!</v>
      </c>
      <c r="AD128" s="194" t="e">
        <f t="shared" si="16"/>
        <v>#REF!</v>
      </c>
      <c r="AE128" s="195" t="e">
        <f t="shared" si="17"/>
        <v>#REF!</v>
      </c>
      <c r="AF128" s="196">
        <v>0.3</v>
      </c>
      <c r="AG128" s="197">
        <v>13530</v>
      </c>
      <c r="AH128" s="176">
        <v>0.29635258358662614</v>
      </c>
      <c r="AI128" s="177">
        <v>13365.501519756839</v>
      </c>
    </row>
    <row r="129" spans="1:35" ht="15.75" thickBot="1" x14ac:dyDescent="0.3">
      <c r="A129" s="2">
        <v>23</v>
      </c>
      <c r="B129" s="178" t="s">
        <v>265</v>
      </c>
      <c r="C129" s="179">
        <f>scénario_1!E43</f>
        <v>5000</v>
      </c>
      <c r="D129" s="278">
        <v>0</v>
      </c>
      <c r="E129" s="279">
        <v>0</v>
      </c>
      <c r="F129" s="279">
        <v>0</v>
      </c>
      <c r="G129" s="279">
        <v>0</v>
      </c>
      <c r="H129" s="280">
        <v>0</v>
      </c>
      <c r="I129" s="183"/>
      <c r="J129" s="446">
        <v>12</v>
      </c>
      <c r="K129" s="446">
        <v>6</v>
      </c>
      <c r="L129" s="446">
        <v>6</v>
      </c>
      <c r="M129" s="446">
        <v>6</v>
      </c>
      <c r="N129" s="187"/>
      <c r="O129" s="446">
        <v>12</v>
      </c>
      <c r="P129" s="446">
        <v>6</v>
      </c>
      <c r="Q129" s="446">
        <v>6</v>
      </c>
      <c r="R129" s="446">
        <v>6</v>
      </c>
      <c r="S129" s="187"/>
      <c r="T129" s="198">
        <v>0.4</v>
      </c>
      <c r="U129" s="191">
        <v>1500</v>
      </c>
      <c r="V129" s="282">
        <v>0</v>
      </c>
      <c r="W129" s="190"/>
      <c r="X129" s="191" t="e">
        <f>IF(#REF!=Matrices!$L$6,0,IF(N129&gt;C129,C129,N129))</f>
        <v>#REF!</v>
      </c>
      <c r="Y129" s="192" t="e">
        <f>IF(#REF!=Matrices!$L$6,0,IF(S129&gt;C129,C129,S129))</f>
        <v>#REF!</v>
      </c>
      <c r="Z129" s="192">
        <v>0</v>
      </c>
      <c r="AA129" s="190">
        <v>0</v>
      </c>
      <c r="AB129" s="193" t="e">
        <v>#REF!</v>
      </c>
      <c r="AC129" s="193" t="e">
        <f t="shared" si="15"/>
        <v>#REF!</v>
      </c>
      <c r="AD129" s="194" t="e">
        <f t="shared" si="16"/>
        <v>#REF!</v>
      </c>
      <c r="AE129" s="195" t="e">
        <f t="shared" si="17"/>
        <v>#REF!</v>
      </c>
      <c r="AF129" s="196">
        <v>0.1</v>
      </c>
      <c r="AG129" s="197">
        <v>4510</v>
      </c>
      <c r="AH129" s="176">
        <v>9.8784194528875394E-2</v>
      </c>
      <c r="AI129" s="177">
        <v>4455.16717325228</v>
      </c>
    </row>
    <row r="130" spans="1:35" ht="15" customHeight="1" thickBot="1" x14ac:dyDescent="0.3">
      <c r="A130" s="2">
        <v>24</v>
      </c>
      <c r="B130" s="201" t="s">
        <v>266</v>
      </c>
      <c r="C130" s="202">
        <f>scénario_1!E44</f>
        <v>0</v>
      </c>
      <c r="D130" s="283">
        <v>100</v>
      </c>
      <c r="E130" s="284">
        <v>80</v>
      </c>
      <c r="F130" s="284">
        <v>40</v>
      </c>
      <c r="G130" s="284">
        <v>0</v>
      </c>
      <c r="H130" s="285">
        <v>1000</v>
      </c>
      <c r="I130" s="183"/>
      <c r="J130" s="286">
        <v>79</v>
      </c>
      <c r="K130" s="286">
        <v>45</v>
      </c>
      <c r="L130" s="285">
        <v>45</v>
      </c>
      <c r="M130" s="285">
        <v>45</v>
      </c>
      <c r="N130" s="212"/>
      <c r="O130" s="286">
        <v>79</v>
      </c>
      <c r="P130" s="285">
        <v>30</v>
      </c>
      <c r="Q130" s="285">
        <v>30</v>
      </c>
      <c r="R130" s="285">
        <v>30</v>
      </c>
      <c r="S130" s="212"/>
      <c r="T130" s="266"/>
      <c r="U130" s="267"/>
      <c r="V130" s="128"/>
      <c r="W130" s="268"/>
      <c r="X130" s="256" t="e">
        <f>IF(#REF!=Matrices!$L$6,0,IF(N130&gt;C130,C130,N130))</f>
        <v>#REF!</v>
      </c>
      <c r="Y130" s="269" t="e">
        <f>IF(#REF!=Matrices!$L$6,0,IF(S130&gt;C130,C130,S130))</f>
        <v>#REF!</v>
      </c>
      <c r="Z130" s="128">
        <v>0</v>
      </c>
      <c r="AA130" s="268">
        <v>0</v>
      </c>
      <c r="AB130" s="259" t="e">
        <v>#REF!</v>
      </c>
      <c r="AC130" s="259" t="e">
        <f t="shared" si="15"/>
        <v>#REF!</v>
      </c>
      <c r="AD130" s="270" t="e">
        <f t="shared" si="16"/>
        <v>#REF!</v>
      </c>
      <c r="AE130" s="271" t="e">
        <f t="shared" si="17"/>
        <v>#REF!</v>
      </c>
      <c r="AF130" s="196">
        <v>7.0000000000000007E-2</v>
      </c>
      <c r="AG130" s="197">
        <v>3157.0000000000005</v>
      </c>
      <c r="AH130" s="176">
        <v>6.9148936170212782E-2</v>
      </c>
      <c r="AI130" s="177">
        <v>3118.6170212765965</v>
      </c>
    </row>
    <row r="131" spans="1:35" ht="15" customHeight="1" thickBot="1" x14ac:dyDescent="0.3">
      <c r="A131" s="2">
        <v>25</v>
      </c>
      <c r="B131" s="287" t="s">
        <v>267</v>
      </c>
      <c r="C131" s="223">
        <f>scénario_1!E45</f>
        <v>0</v>
      </c>
      <c r="D131" s="288">
        <v>500</v>
      </c>
      <c r="E131" s="289">
        <v>400</v>
      </c>
      <c r="F131" s="289">
        <v>300</v>
      </c>
      <c r="G131" s="289">
        <v>0</v>
      </c>
      <c r="H131" s="290">
        <v>800</v>
      </c>
      <c r="I131" s="291"/>
      <c r="J131" s="292">
        <v>0</v>
      </c>
      <c r="K131" s="293">
        <v>0</v>
      </c>
      <c r="L131" s="293">
        <v>0</v>
      </c>
      <c r="M131" s="294">
        <v>0</v>
      </c>
      <c r="N131" s="295"/>
      <c r="O131" s="292">
        <v>0</v>
      </c>
      <c r="P131" s="293">
        <v>0</v>
      </c>
      <c r="Q131" s="293">
        <v>0</v>
      </c>
      <c r="R131" s="294">
        <v>0</v>
      </c>
      <c r="S131" s="295"/>
      <c r="T131" s="296"/>
      <c r="U131" s="297" t="s">
        <v>268</v>
      </c>
      <c r="V131" s="282">
        <f>IF(SUM(V124:V129)&gt;MAX(U124:U129),MAX(U124:U129),SUM(V124:V129))</f>
        <v>0</v>
      </c>
      <c r="W131" s="298"/>
      <c r="X131" s="236" t="e">
        <f>IF(#REF!=Matrices!$L$6,0,IF(N131&gt;C131,C131,N131))</f>
        <v>#REF!</v>
      </c>
      <c r="Y131" s="234" t="e">
        <f>IF(#REF!=Matrices!$L$6,0,IF(S131&gt;C131,C131,S131))</f>
        <v>#REF!</v>
      </c>
      <c r="Z131" s="234">
        <v>0</v>
      </c>
      <c r="AA131" s="234">
        <v>0</v>
      </c>
      <c r="AB131" s="238" t="e">
        <v>#REF!</v>
      </c>
      <c r="AC131" s="238" t="e">
        <f t="shared" si="15"/>
        <v>#REF!</v>
      </c>
      <c r="AD131" s="239" t="e">
        <f t="shared" si="16"/>
        <v>#REF!</v>
      </c>
      <c r="AE131" s="240" t="e">
        <f t="shared" si="17"/>
        <v>#REF!</v>
      </c>
      <c r="AF131" s="196">
        <v>0</v>
      </c>
      <c r="AG131" s="197">
        <v>0</v>
      </c>
      <c r="AH131" s="176">
        <v>0</v>
      </c>
      <c r="AI131" s="177">
        <v>0</v>
      </c>
    </row>
    <row r="132" spans="1:35" ht="15" customHeight="1" thickBot="1" x14ac:dyDescent="0.3">
      <c r="A132" s="2">
        <v>26</v>
      </c>
      <c r="B132" s="241" t="s">
        <v>269</v>
      </c>
      <c r="C132" s="156">
        <f>scénario_1!E46</f>
        <v>0</v>
      </c>
      <c r="D132" s="157">
        <v>0</v>
      </c>
      <c r="E132" s="158">
        <v>0</v>
      </c>
      <c r="F132" s="158">
        <v>0</v>
      </c>
      <c r="G132" s="158">
        <v>0</v>
      </c>
      <c r="H132" s="159">
        <v>0</v>
      </c>
      <c r="I132" s="299"/>
      <c r="J132" s="161">
        <v>100</v>
      </c>
      <c r="K132" s="162">
        <v>100</v>
      </c>
      <c r="L132" s="162">
        <v>50</v>
      </c>
      <c r="M132" s="163">
        <v>50</v>
      </c>
      <c r="N132" s="260"/>
      <c r="O132" s="161">
        <v>100</v>
      </c>
      <c r="P132" s="162">
        <v>100</v>
      </c>
      <c r="Q132" s="162">
        <v>50</v>
      </c>
      <c r="R132" s="163">
        <v>50</v>
      </c>
      <c r="S132" s="260"/>
      <c r="T132" s="296"/>
      <c r="U132" s="297" t="s">
        <v>270</v>
      </c>
      <c r="V132" s="250">
        <f>IF(AND(V115="",V116="",V119=""),0,IF(V115+V116+V119&gt;1000,1000,V115+V116+V119))</f>
        <v>0</v>
      </c>
      <c r="W132" s="298"/>
      <c r="X132" s="245" t="e">
        <f>IF(#REF!=Matrices!$L$6,0,IF(N132&gt;C132,C132,N132))</f>
        <v>#REF!</v>
      </c>
      <c r="Y132" s="251" t="e">
        <f>IF(#REF!=Matrices!$L$6,0,IF(S132&gt;C132,C132,S132))</f>
        <v>#REF!</v>
      </c>
      <c r="Z132" s="300">
        <v>0</v>
      </c>
      <c r="AA132" s="300">
        <v>0</v>
      </c>
      <c r="AB132" s="264" t="e">
        <v>#REF!</v>
      </c>
      <c r="AC132" s="264" t="e">
        <f t="shared" si="15"/>
        <v>#REF!</v>
      </c>
      <c r="AD132" s="248" t="e">
        <f t="shared" si="16"/>
        <v>#REF!</v>
      </c>
      <c r="AE132" s="249" t="e">
        <f t="shared" si="17"/>
        <v>#REF!</v>
      </c>
      <c r="AF132" s="196">
        <v>0.05</v>
      </c>
      <c r="AG132" s="197">
        <v>2255</v>
      </c>
      <c r="AH132" s="176">
        <v>4.9392097264437697E-2</v>
      </c>
      <c r="AI132" s="177">
        <v>2227.58358662614</v>
      </c>
    </row>
    <row r="133" spans="1:35" ht="15" customHeight="1" thickBot="1" x14ac:dyDescent="0.3">
      <c r="A133" s="2">
        <v>27</v>
      </c>
      <c r="B133" s="178" t="s">
        <v>271</v>
      </c>
      <c r="C133" s="179">
        <f>scénario_1!E47</f>
        <v>0</v>
      </c>
      <c r="D133" s="180">
        <v>0</v>
      </c>
      <c r="E133" s="181">
        <v>0</v>
      </c>
      <c r="F133" s="181">
        <v>0</v>
      </c>
      <c r="G133" s="181">
        <v>0</v>
      </c>
      <c r="H133" s="182">
        <v>0</v>
      </c>
      <c r="I133" s="301"/>
      <c r="J133" s="184">
        <v>150</v>
      </c>
      <c r="K133" s="165">
        <v>150</v>
      </c>
      <c r="L133" s="165">
        <v>150</v>
      </c>
      <c r="M133" s="185">
        <v>150</v>
      </c>
      <c r="N133" s="200"/>
      <c r="O133" s="184">
        <v>150</v>
      </c>
      <c r="P133" s="165">
        <v>150</v>
      </c>
      <c r="Q133" s="165">
        <v>150</v>
      </c>
      <c r="R133" s="185">
        <v>150</v>
      </c>
      <c r="S133" s="200"/>
      <c r="T133" s="302"/>
      <c r="U133" s="303" t="s">
        <v>272</v>
      </c>
      <c r="V133" s="304">
        <f>IF(AND(V109="",V122=""),0,IF(V109+V122&gt;1000,1000,V109+V122))</f>
        <v>0</v>
      </c>
      <c r="W133" s="298"/>
      <c r="X133" s="191" t="e">
        <f>IF(#REF!=Matrices!$L$6,0,IF(N133&gt;C133,C133,N133))</f>
        <v>#REF!</v>
      </c>
      <c r="Y133" s="192" t="e">
        <f>IF(#REF!=Matrices!$L$6,0,IF(S133&gt;C133,C133,S133))</f>
        <v>#REF!</v>
      </c>
      <c r="Z133" s="111">
        <v>0</v>
      </c>
      <c r="AA133" s="111">
        <v>0</v>
      </c>
      <c r="AB133" s="193" t="e">
        <v>#REF!</v>
      </c>
      <c r="AC133" s="193" t="e">
        <f t="shared" si="15"/>
        <v>#REF!</v>
      </c>
      <c r="AD133" s="194" t="e">
        <f t="shared" si="16"/>
        <v>#REF!</v>
      </c>
      <c r="AE133" s="195" t="e">
        <f t="shared" si="17"/>
        <v>#REF!</v>
      </c>
      <c r="AF133" s="196">
        <v>0.05</v>
      </c>
      <c r="AG133" s="197">
        <v>2255</v>
      </c>
      <c r="AH133" s="176">
        <v>4.9392097264437697E-2</v>
      </c>
      <c r="AI133" s="177">
        <v>2227.58358662614</v>
      </c>
    </row>
    <row r="134" spans="1:35" ht="15" customHeight="1" thickBot="1" x14ac:dyDescent="0.3">
      <c r="A134" s="2">
        <v>28</v>
      </c>
      <c r="B134" s="201" t="s">
        <v>273</v>
      </c>
      <c r="C134" s="202">
        <f>scénario_1!E48</f>
        <v>0</v>
      </c>
      <c r="D134" s="203">
        <v>0</v>
      </c>
      <c r="E134" s="204">
        <v>0</v>
      </c>
      <c r="F134" s="204">
        <v>0</v>
      </c>
      <c r="G134" s="204">
        <v>0</v>
      </c>
      <c r="H134" s="205">
        <v>0</v>
      </c>
      <c r="I134" s="305"/>
      <c r="J134" s="207">
        <v>700</v>
      </c>
      <c r="K134" s="208">
        <v>700</v>
      </c>
      <c r="L134" s="208">
        <v>450</v>
      </c>
      <c r="M134" s="209">
        <v>450</v>
      </c>
      <c r="N134" s="210"/>
      <c r="O134" s="207">
        <v>700</v>
      </c>
      <c r="P134" s="208">
        <v>700</v>
      </c>
      <c r="Q134" s="208">
        <v>450</v>
      </c>
      <c r="R134" s="209">
        <v>450</v>
      </c>
      <c r="S134" s="210"/>
      <c r="X134" s="256" t="e">
        <f>IF(#REF!=Matrices!$L$6,0,IF(N134&gt;C134,C134,N134))</f>
        <v>#REF!</v>
      </c>
      <c r="Y134" s="128" t="e">
        <f>IF(#REF!=Matrices!$L$6,0,IF(S134&gt;C134,C134,S134))</f>
        <v>#REF!</v>
      </c>
      <c r="Z134" s="128">
        <v>0</v>
      </c>
      <c r="AA134" s="128">
        <v>0</v>
      </c>
      <c r="AB134" s="259" t="e">
        <v>#REF!</v>
      </c>
      <c r="AC134" s="259" t="e">
        <f t="shared" si="15"/>
        <v>#REF!</v>
      </c>
      <c r="AD134" s="270" t="e">
        <f t="shared" si="16"/>
        <v>#REF!</v>
      </c>
      <c r="AE134" s="271" t="e">
        <f t="shared" si="17"/>
        <v>#REF!</v>
      </c>
      <c r="AF134" s="306">
        <v>0</v>
      </c>
      <c r="AG134" s="307">
        <v>0</v>
      </c>
      <c r="AH134" s="176">
        <v>0</v>
      </c>
      <c r="AI134" s="177">
        <v>0</v>
      </c>
    </row>
    <row r="135" spans="1:35" ht="15" customHeight="1" thickBot="1" x14ac:dyDescent="0.3">
      <c r="A135" s="2">
        <v>29</v>
      </c>
      <c r="B135" s="241" t="s">
        <v>274</v>
      </c>
      <c r="C135" s="58"/>
      <c r="D135" s="308">
        <v>0</v>
      </c>
      <c r="E135" s="309">
        <v>0</v>
      </c>
      <c r="F135" s="309">
        <v>10000</v>
      </c>
      <c r="G135" s="309">
        <v>5000</v>
      </c>
      <c r="H135" s="310"/>
      <c r="I135" s="311">
        <v>0</v>
      </c>
      <c r="J135" s="312" t="e">
        <f>IF(AND(D182=1,D183=1,D185=1,D186=1),500,IF(AND(D182=1,D183=1,D186=1,D185=0),300,IF(AND(D182=1,D183=1,D186=0,D185=1),400,IF(AND(D182=1,D183=1,D186=0,D185=0),250,0))))</f>
        <v>#REF!</v>
      </c>
      <c r="K135" s="312" t="e">
        <f>IF(AND(D182=1,D183=1,D185=1,D186=1),500,IF(AND(D182=1,D183=1,D186=1,D185=0),300,IF(AND(D182=1,D183=1,D186=0,D185=1),400,IF(AND(D182=1,D183=1,D186=0,D185=0),250,0))))</f>
        <v>#REF!</v>
      </c>
      <c r="L135" s="312" t="e">
        <f>IF(AND(D182=1,D183=1,D185=1,D186=1),400,IF(AND(D182=1,D183=1,D186=1,D185=0),200,IF(AND(D182=1,D183=1,D186=0,D185=1),300,IF(AND(D182=1,D183=1,D186=0,D185=0),150,0))))</f>
        <v>#REF!</v>
      </c>
      <c r="M135" s="312" t="e">
        <f>IF(AND(D182=1,D183=1,D185=1,D186=1),400,IF(AND(D182=1,D183=1,D186=1,D185=0),200,IF(AND(D182=1,D183=1,D186=0,D185=1),300,IF(AND(D182=1,D183=1,D186=0,D185=0),150,0))))</f>
        <v>#REF!</v>
      </c>
      <c r="N135" s="260"/>
      <c r="S135" s="313"/>
      <c r="AF135" s="232">
        <f>SUM(AF107:AF134)</f>
        <v>3.29</v>
      </c>
      <c r="AG135" s="314">
        <f>SUM(AG107:AG134)</f>
        <v>148379</v>
      </c>
      <c r="AH135" s="315">
        <f t="shared" ref="AH135:AI135" si="18">SUM(AH107:AH134)</f>
        <v>3.25</v>
      </c>
      <c r="AI135" s="316">
        <f t="shared" si="18"/>
        <v>146574.99999999997</v>
      </c>
    </row>
    <row r="136" spans="1:35" x14ac:dyDescent="0.25">
      <c r="A136" s="2">
        <v>30</v>
      </c>
      <c r="B136" s="178" t="s">
        <v>275</v>
      </c>
      <c r="C136" s="68"/>
      <c r="D136" s="317">
        <v>1500</v>
      </c>
      <c r="E136" s="136">
        <v>1500</v>
      </c>
      <c r="F136" s="136">
        <v>1000</v>
      </c>
      <c r="G136" s="136">
        <v>500</v>
      </c>
      <c r="H136" s="318"/>
      <c r="I136" s="311">
        <v>0</v>
      </c>
      <c r="J136" s="319">
        <v>0</v>
      </c>
      <c r="K136" s="320">
        <v>0</v>
      </c>
      <c r="L136" s="320">
        <v>0</v>
      </c>
      <c r="M136" s="321">
        <v>0</v>
      </c>
      <c r="N136" s="322">
        <v>0</v>
      </c>
    </row>
    <row r="137" spans="1:35" ht="15.75" thickBot="1" x14ac:dyDescent="0.3">
      <c r="A137" s="2">
        <v>31</v>
      </c>
      <c r="B137" s="201" t="s">
        <v>276</v>
      </c>
      <c r="C137" s="85"/>
      <c r="D137" s="323">
        <v>1500</v>
      </c>
      <c r="E137" s="324">
        <v>1500</v>
      </c>
      <c r="F137" s="324">
        <v>1000</v>
      </c>
      <c r="G137" s="324">
        <v>500</v>
      </c>
      <c r="H137" s="325"/>
      <c r="I137" s="326">
        <v>1500</v>
      </c>
      <c r="J137" s="327">
        <v>0</v>
      </c>
      <c r="K137" s="328">
        <v>0</v>
      </c>
      <c r="L137" s="328">
        <v>0</v>
      </c>
      <c r="M137" s="329">
        <v>0</v>
      </c>
      <c r="N137" s="330">
        <v>0</v>
      </c>
    </row>
    <row r="138" spans="1:35" ht="15.75" thickBot="1" x14ac:dyDescent="0.3">
      <c r="A138" s="2">
        <v>32</v>
      </c>
      <c r="B138" s="287" t="s">
        <v>277</v>
      </c>
      <c r="C138" s="37"/>
      <c r="D138" s="331">
        <v>20000</v>
      </c>
      <c r="E138" s="332">
        <v>20000</v>
      </c>
      <c r="F138" s="332">
        <v>20000</v>
      </c>
      <c r="G138" s="332">
        <v>20000</v>
      </c>
      <c r="H138" s="333"/>
      <c r="I138" s="334"/>
      <c r="J138" s="335">
        <v>0</v>
      </c>
      <c r="K138" s="336">
        <v>0</v>
      </c>
      <c r="L138" s="336">
        <v>0</v>
      </c>
      <c r="M138" s="337">
        <v>0</v>
      </c>
      <c r="N138" s="338">
        <v>0</v>
      </c>
    </row>
    <row r="139" spans="1:35" ht="15.75" thickBot="1" x14ac:dyDescent="0.3">
      <c r="A139" s="2">
        <v>33</v>
      </c>
      <c r="B139" s="339" t="s">
        <v>278</v>
      </c>
      <c r="C139" s="340"/>
      <c r="D139" s="341">
        <v>0.9</v>
      </c>
      <c r="E139" s="342">
        <v>0.75</v>
      </c>
      <c r="F139" s="342">
        <v>0.6</v>
      </c>
      <c r="G139" s="342">
        <v>0.4</v>
      </c>
      <c r="H139" s="343"/>
      <c r="I139" s="344"/>
      <c r="J139" s="345">
        <v>0</v>
      </c>
      <c r="K139" s="346">
        <v>0</v>
      </c>
      <c r="L139" s="346">
        <v>0</v>
      </c>
      <c r="M139" s="347">
        <v>0</v>
      </c>
      <c r="N139" s="348">
        <v>0</v>
      </c>
    </row>
    <row r="140" spans="1:35" ht="15.75" thickBot="1" x14ac:dyDescent="0.3">
      <c r="B140" s="349" t="s">
        <v>279</v>
      </c>
      <c r="C140" s="350">
        <f>SUM(C107:C134)</f>
        <v>29600</v>
      </c>
      <c r="D140" s="351"/>
      <c r="E140" s="351"/>
      <c r="F140" s="351"/>
      <c r="G140" s="351"/>
      <c r="H140" s="351"/>
      <c r="I140" s="350">
        <f>SUM(I107:I134)</f>
        <v>0</v>
      </c>
      <c r="J140" s="351"/>
      <c r="K140" s="351"/>
      <c r="L140" s="351"/>
      <c r="M140" s="351"/>
      <c r="N140" s="313">
        <f>SUM(N107:N134)</f>
        <v>0</v>
      </c>
    </row>
    <row r="141" spans="1:35" ht="15.75" thickBot="1" x14ac:dyDescent="0.3"/>
    <row r="142" spans="1:35" ht="19.5" thickBot="1" x14ac:dyDescent="0.35">
      <c r="B142" s="702" t="s">
        <v>280</v>
      </c>
      <c r="C142" s="703"/>
      <c r="D142" s="703"/>
      <c r="E142" s="703"/>
      <c r="F142" s="703"/>
      <c r="G142" s="703"/>
      <c r="H142" s="704"/>
    </row>
    <row r="143" spans="1:35" ht="15.75" thickBot="1" x14ac:dyDescent="0.3">
      <c r="B143" s="352" t="s">
        <v>281</v>
      </c>
      <c r="C143" s="353" t="s">
        <v>282</v>
      </c>
      <c r="D143" s="353" t="s">
        <v>283</v>
      </c>
      <c r="E143" s="354" t="s">
        <v>284</v>
      </c>
      <c r="F143" s="355" t="s">
        <v>285</v>
      </c>
      <c r="G143" s="683" t="s">
        <v>580</v>
      </c>
      <c r="H143" s="701"/>
      <c r="J143" s="356" t="s">
        <v>282</v>
      </c>
      <c r="K143" s="165">
        <v>15000</v>
      </c>
    </row>
    <row r="144" spans="1:35" x14ac:dyDescent="0.25">
      <c r="B144" s="357" t="s">
        <v>287</v>
      </c>
      <c r="C144" s="261">
        <v>15000</v>
      </c>
      <c r="D144" s="261">
        <v>25000</v>
      </c>
      <c r="E144" s="261">
        <v>30000</v>
      </c>
      <c r="F144" s="358">
        <v>15</v>
      </c>
      <c r="G144" s="359" t="s">
        <v>231</v>
      </c>
      <c r="H144" s="185">
        <v>30000</v>
      </c>
      <c r="J144" s="356" t="s">
        <v>283</v>
      </c>
      <c r="K144" s="165">
        <v>25000</v>
      </c>
    </row>
    <row r="145" spans="2:11" x14ac:dyDescent="0.25">
      <c r="B145" s="360" t="s">
        <v>288</v>
      </c>
      <c r="C145" s="165">
        <v>15000</v>
      </c>
      <c r="D145" s="165">
        <v>25000</v>
      </c>
      <c r="E145" s="165">
        <v>30000</v>
      </c>
      <c r="F145" s="361">
        <v>15</v>
      </c>
      <c r="G145" s="359" t="s">
        <v>289</v>
      </c>
      <c r="H145" s="362">
        <v>15</v>
      </c>
      <c r="J145" s="363" t="s">
        <v>284</v>
      </c>
      <c r="K145" s="165">
        <v>30000</v>
      </c>
    </row>
    <row r="146" spans="2:11" ht="45" x14ac:dyDescent="0.25">
      <c r="B146" s="360" t="s">
        <v>290</v>
      </c>
      <c r="C146" s="165">
        <v>7000</v>
      </c>
      <c r="D146" s="165">
        <v>25000</v>
      </c>
      <c r="E146" s="165">
        <v>30000</v>
      </c>
      <c r="F146" s="361">
        <v>15</v>
      </c>
      <c r="G146" s="359" t="s">
        <v>291</v>
      </c>
      <c r="H146" s="364">
        <v>331</v>
      </c>
      <c r="J146" s="356" t="s">
        <v>286</v>
      </c>
      <c r="K146" s="165">
        <v>30000</v>
      </c>
    </row>
    <row r="147" spans="2:11" ht="33.75" customHeight="1" thickBot="1" x14ac:dyDescent="0.3">
      <c r="B147" s="360" t="s">
        <v>292</v>
      </c>
      <c r="C147" s="165">
        <v>15000</v>
      </c>
      <c r="D147" s="165">
        <v>25000</v>
      </c>
      <c r="E147" s="165">
        <v>30000</v>
      </c>
      <c r="F147" s="361">
        <v>15</v>
      </c>
      <c r="G147" s="365" t="s">
        <v>243</v>
      </c>
      <c r="H147" s="366">
        <v>0.35</v>
      </c>
    </row>
    <row r="148" spans="2:11" ht="30" x14ac:dyDescent="0.25">
      <c r="B148" s="360" t="s">
        <v>293</v>
      </c>
      <c r="C148" s="165">
        <v>15000</v>
      </c>
      <c r="D148" s="165">
        <v>25000</v>
      </c>
      <c r="E148" s="165">
        <v>30000</v>
      </c>
      <c r="F148" s="362">
        <v>15</v>
      </c>
    </row>
    <row r="149" spans="2:11" x14ac:dyDescent="0.25">
      <c r="B149" s="360" t="s">
        <v>294</v>
      </c>
      <c r="C149" s="165">
        <v>15000</v>
      </c>
      <c r="D149" s="165">
        <v>25000</v>
      </c>
      <c r="E149" s="165">
        <v>30000</v>
      </c>
      <c r="F149" s="362">
        <v>15</v>
      </c>
    </row>
    <row r="150" spans="2:11" ht="30.75" thickBot="1" x14ac:dyDescent="0.3">
      <c r="B150" s="367" t="s">
        <v>295</v>
      </c>
      <c r="C150" s="208">
        <v>15000</v>
      </c>
      <c r="D150" s="208">
        <v>25000</v>
      </c>
      <c r="E150" s="208">
        <v>30000</v>
      </c>
      <c r="F150" s="368">
        <v>15</v>
      </c>
    </row>
    <row r="151" spans="2:11" ht="15.75" thickBot="1" x14ac:dyDescent="0.3"/>
    <row r="152" spans="2:11" ht="19.5" thickBot="1" x14ac:dyDescent="0.35">
      <c r="B152" s="702" t="s">
        <v>296</v>
      </c>
      <c r="C152" s="703"/>
      <c r="D152" s="703"/>
      <c r="E152" s="703"/>
      <c r="F152" s="703"/>
      <c r="G152" s="703"/>
      <c r="H152" s="704"/>
    </row>
    <row r="153" spans="2:11" x14ac:dyDescent="0.25">
      <c r="B153" s="683" t="s">
        <v>297</v>
      </c>
      <c r="C153" s="705" t="s">
        <v>298</v>
      </c>
      <c r="D153" s="705" t="s">
        <v>229</v>
      </c>
      <c r="E153" s="690" t="s">
        <v>299</v>
      </c>
      <c r="F153" s="690" t="s">
        <v>300</v>
      </c>
      <c r="G153" s="690" t="s">
        <v>301</v>
      </c>
      <c r="H153" s="701"/>
    </row>
    <row r="154" spans="2:11" ht="15.75" thickBot="1" x14ac:dyDescent="0.3">
      <c r="B154" s="684"/>
      <c r="C154" s="706"/>
      <c r="D154" s="706"/>
      <c r="E154" s="707"/>
      <c r="F154" s="707"/>
      <c r="G154" s="153" t="s">
        <v>302</v>
      </c>
      <c r="H154" s="154" t="s">
        <v>1</v>
      </c>
    </row>
    <row r="155" spans="2:11" x14ac:dyDescent="0.25">
      <c r="B155" s="369" t="s">
        <v>192</v>
      </c>
      <c r="C155" s="370">
        <v>35000</v>
      </c>
      <c r="D155" s="371" t="e">
        <f>IF(D192=1,35%,0)</f>
        <v>#REF!</v>
      </c>
      <c r="E155" s="372" t="e">
        <f>IF(AND(D193=1,D194=1,D195=1,C160*20%&gt;=2000),2000,IF(AND(D193=1,D194=1,D195=1,C160*20%&lt;=2000),C160*20%,IF(C160*10%&gt;=1600,1600,C160*10%)))</f>
        <v>#REF!</v>
      </c>
      <c r="F155" s="55">
        <v>560</v>
      </c>
      <c r="G155" s="372" t="e">
        <v>#REF!</v>
      </c>
      <c r="H155" s="373" t="e">
        <v>#REF!</v>
      </c>
    </row>
    <row r="156" spans="2:11" ht="15.75" thickBot="1" x14ac:dyDescent="0.3">
      <c r="B156" s="374" t="s">
        <v>191</v>
      </c>
      <c r="C156" s="375">
        <v>35000</v>
      </c>
      <c r="D156" s="376" t="e">
        <f>IF(D192=1,50%,0)</f>
        <v>#REF!</v>
      </c>
      <c r="E156" s="377" t="e">
        <f>IF(AND(D193=1,D194=1,D195=1,C160*20%&gt;=4000),4000,IF(AND(D193=1,D194=1,D195=1,C160*20%&lt;=4000),C160*20%,IF(C160*10%&gt;=2000,2000,C160*10%)))</f>
        <v>#REF!</v>
      </c>
      <c r="F156" s="378">
        <v>560</v>
      </c>
      <c r="G156" s="377" t="e">
        <v>#REF!</v>
      </c>
      <c r="H156" s="379" t="e">
        <v>#REF!</v>
      </c>
    </row>
    <row r="157" spans="2:11" ht="15.75" thickBot="1" x14ac:dyDescent="0.3">
      <c r="B157" s="380" t="s">
        <v>303</v>
      </c>
      <c r="C157" s="381" t="e">
        <f>IF(D190=1,C160*D155+E155+H155,IF(D191=1,C160*D156+E156+H156,0))</f>
        <v>#REF!</v>
      </c>
      <c r="D157" s="382"/>
      <c r="E157" s="383"/>
      <c r="G157" s="383"/>
      <c r="H157" s="383"/>
    </row>
    <row r="158" spans="2:11" ht="15.75" thickBot="1" x14ac:dyDescent="0.3">
      <c r="B158" s="380" t="s">
        <v>304</v>
      </c>
      <c r="C158" s="384" t="e">
        <f>IF(C160&gt;0,F155+G155)</f>
        <v>#REF!</v>
      </c>
      <c r="D158" s="382"/>
      <c r="E158" s="383"/>
      <c r="G158" s="383"/>
      <c r="H158" s="383"/>
    </row>
    <row r="159" spans="2:11" ht="15.75" thickBot="1" x14ac:dyDescent="0.3">
      <c r="B159" s="380" t="s">
        <v>305</v>
      </c>
      <c r="C159" s="384" t="e">
        <f>IF(D190=1,C160*D155,IF(D191=1,C160*D156,0))</f>
        <v>#REF!</v>
      </c>
      <c r="D159" s="382"/>
      <c r="E159" s="383"/>
      <c r="G159" s="383"/>
      <c r="H159" s="383"/>
    </row>
    <row r="160" spans="2:11" ht="15.75" thickBot="1" x14ac:dyDescent="0.3">
      <c r="B160" s="380" t="s">
        <v>306</v>
      </c>
      <c r="C160" s="384" t="e">
        <v>#REF!</v>
      </c>
      <c r="D160" s="382"/>
      <c r="E160" s="383"/>
      <c r="G160" s="383"/>
      <c r="H160" s="383"/>
    </row>
    <row r="161" spans="2:8" ht="15.75" thickBot="1" x14ac:dyDescent="0.3"/>
    <row r="162" spans="2:8" ht="30.75" thickBot="1" x14ac:dyDescent="0.3">
      <c r="B162" s="385" t="s">
        <v>307</v>
      </c>
      <c r="C162" s="386" t="s">
        <v>308</v>
      </c>
      <c r="D162" s="387" t="s">
        <v>309</v>
      </c>
      <c r="E162" s="386" t="s">
        <v>229</v>
      </c>
      <c r="F162" s="388" t="s">
        <v>299</v>
      </c>
      <c r="G162" s="389" t="s">
        <v>300</v>
      </c>
    </row>
    <row r="163" spans="2:8" ht="15.75" thickBot="1" x14ac:dyDescent="0.3">
      <c r="B163" s="390" t="s">
        <v>52</v>
      </c>
      <c r="C163" s="44">
        <v>60000</v>
      </c>
      <c r="D163" s="44">
        <v>750</v>
      </c>
      <c r="E163" s="391" t="e">
        <f>IF(AND(D188=1,D189=1,D196=1,D197=1,D198=1,D199=1,D200=1),25%,0)</f>
        <v>#REF!</v>
      </c>
      <c r="F163" s="392" t="e">
        <f>IF(OR(((#REF!*0.947867299)&gt;20000),((#REF!*0.947867299)*10%)&gt;1600),1600,(#REF!*0.947867299)*10%)</f>
        <v>#REF!</v>
      </c>
      <c r="G163" s="393">
        <v>840</v>
      </c>
    </row>
    <row r="164" spans="2:8" ht="15.75" thickBot="1" x14ac:dyDescent="0.3">
      <c r="B164" s="394" t="s">
        <v>215</v>
      </c>
      <c r="C164" s="395" t="e">
        <f>IF(C167="","",(C167*E163)+F163)</f>
        <v>#REF!</v>
      </c>
      <c r="E164" s="383"/>
      <c r="F164" s="383"/>
      <c r="G164" s="383"/>
    </row>
    <row r="165" spans="2:8" ht="15.75" thickBot="1" x14ac:dyDescent="0.3">
      <c r="B165" s="380" t="s">
        <v>304</v>
      </c>
      <c r="C165" s="395" t="e">
        <f>IF(C167="","",G163)</f>
        <v>#REF!</v>
      </c>
      <c r="E165" s="383"/>
      <c r="F165" s="383"/>
      <c r="G165" s="383"/>
    </row>
    <row r="166" spans="2:8" ht="15.75" thickBot="1" x14ac:dyDescent="0.3">
      <c r="B166" s="380" t="s">
        <v>310</v>
      </c>
      <c r="C166" s="395" t="e">
        <f>IF(C167="","",C167*E163)</f>
        <v>#REF!</v>
      </c>
      <c r="E166" s="383"/>
      <c r="F166" s="383"/>
      <c r="G166" s="383"/>
    </row>
    <row r="167" spans="2:8" ht="15.75" thickBot="1" x14ac:dyDescent="0.3">
      <c r="B167" s="380" t="s">
        <v>306</v>
      </c>
      <c r="C167" s="396" t="e">
        <v>#REF!</v>
      </c>
      <c r="E167" s="383"/>
      <c r="F167" s="383"/>
      <c r="G167" s="383"/>
    </row>
    <row r="168" spans="2:8" ht="15.75" thickBot="1" x14ac:dyDescent="0.3"/>
    <row r="169" spans="2:8" x14ac:dyDescent="0.25">
      <c r="B169" s="683" t="s">
        <v>311</v>
      </c>
      <c r="C169" s="685" t="s">
        <v>298</v>
      </c>
      <c r="D169" s="687" t="s">
        <v>229</v>
      </c>
      <c r="E169" s="687"/>
      <c r="F169" s="688" t="s">
        <v>299</v>
      </c>
      <c r="G169" s="690" t="s">
        <v>300</v>
      </c>
    </row>
    <row r="170" spans="2:8" ht="15.75" thickBot="1" x14ac:dyDescent="0.3">
      <c r="B170" s="684"/>
      <c r="C170" s="686"/>
      <c r="D170" s="397" t="s">
        <v>191</v>
      </c>
      <c r="E170" s="397" t="s">
        <v>192</v>
      </c>
      <c r="F170" s="689"/>
      <c r="G170" s="691"/>
    </row>
    <row r="171" spans="2:8" ht="15.75" thickBot="1" x14ac:dyDescent="0.3">
      <c r="B171" s="398" t="s">
        <v>52</v>
      </c>
      <c r="C171" s="399">
        <v>20000</v>
      </c>
      <c r="D171" s="400" t="e">
        <f>IF(#REF!&lt;=-0.25,50%,0)</f>
        <v>#REF!</v>
      </c>
      <c r="E171" s="400" t="e">
        <f>IF(#REF!&lt;=-0.25,35%,0)</f>
        <v>#REF!</v>
      </c>
      <c r="F171" s="401">
        <v>1600</v>
      </c>
    </row>
    <row r="172" spans="2:8" x14ac:dyDescent="0.25">
      <c r="B172" s="402" t="s">
        <v>312</v>
      </c>
      <c r="C172" s="403"/>
      <c r="D172" s="403"/>
      <c r="E172" s="403"/>
      <c r="F172" s="403"/>
      <c r="G172" s="403"/>
      <c r="H172" s="403"/>
    </row>
    <row r="173" spans="2:8" x14ac:dyDescent="0.25">
      <c r="B173" s="404"/>
    </row>
    <row r="174" spans="2:8" ht="15.75" thickBot="1" x14ac:dyDescent="0.3"/>
    <row r="175" spans="2:8" ht="19.5" thickBot="1" x14ac:dyDescent="0.35">
      <c r="B175" s="692" t="s">
        <v>313</v>
      </c>
      <c r="C175" s="693"/>
      <c r="D175" s="694"/>
    </row>
    <row r="176" spans="2:8" ht="15.75" x14ac:dyDescent="0.25">
      <c r="B176" s="695" t="s">
        <v>314</v>
      </c>
      <c r="C176" s="696"/>
      <c r="D176" s="697"/>
    </row>
    <row r="177" spans="2:4" x14ac:dyDescent="0.25">
      <c r="B177" s="148" t="s">
        <v>315</v>
      </c>
      <c r="C177" s="139" t="s">
        <v>316</v>
      </c>
      <c r="D177" s="405">
        <v>1</v>
      </c>
    </row>
    <row r="178" spans="2:4" x14ac:dyDescent="0.25">
      <c r="B178" s="148" t="s">
        <v>317</v>
      </c>
      <c r="C178" s="139" t="s">
        <v>318</v>
      </c>
      <c r="D178" s="405" t="e">
        <v>#REF!</v>
      </c>
    </row>
    <row r="179" spans="2:4" x14ac:dyDescent="0.25">
      <c r="B179" s="148" t="s">
        <v>319</v>
      </c>
      <c r="C179" s="139" t="s">
        <v>320</v>
      </c>
      <c r="D179" s="405" t="e">
        <v>#REF!</v>
      </c>
    </row>
    <row r="180" spans="2:4" x14ac:dyDescent="0.25">
      <c r="B180" s="148" t="s">
        <v>321</v>
      </c>
      <c r="C180" s="148" t="s">
        <v>322</v>
      </c>
      <c r="D180" s="405" t="e">
        <v>#REF!</v>
      </c>
    </row>
    <row r="181" spans="2:4" ht="15.75" x14ac:dyDescent="0.25">
      <c r="B181" s="698" t="s">
        <v>232</v>
      </c>
      <c r="C181" s="698"/>
      <c r="D181" s="698"/>
    </row>
    <row r="182" spans="2:4" x14ac:dyDescent="0.25">
      <c r="B182" s="148" t="s">
        <v>315</v>
      </c>
      <c r="C182" s="139" t="s">
        <v>323</v>
      </c>
      <c r="D182" s="406">
        <v>1</v>
      </c>
    </row>
    <row r="183" spans="2:4" x14ac:dyDescent="0.25">
      <c r="B183" s="148" t="s">
        <v>324</v>
      </c>
      <c r="C183" s="176">
        <v>0.55000000000000004</v>
      </c>
      <c r="D183" s="406" t="e">
        <v>#REF!</v>
      </c>
    </row>
    <row r="184" spans="2:4" x14ac:dyDescent="0.25">
      <c r="B184" s="148" t="s">
        <v>325</v>
      </c>
      <c r="C184" s="176">
        <v>0.35</v>
      </c>
      <c r="D184" s="406" t="e">
        <v>#REF!</v>
      </c>
    </row>
    <row r="185" spans="2:4" x14ac:dyDescent="0.25">
      <c r="B185" s="148" t="s">
        <v>326</v>
      </c>
      <c r="C185" s="139" t="s">
        <v>327</v>
      </c>
      <c r="D185" s="406">
        <v>1</v>
      </c>
    </row>
    <row r="186" spans="2:4" x14ac:dyDescent="0.25">
      <c r="B186" s="148" t="s">
        <v>328</v>
      </c>
      <c r="C186" s="139"/>
      <c r="D186" s="406">
        <v>1</v>
      </c>
    </row>
    <row r="187" spans="2:4" ht="15.75" x14ac:dyDescent="0.25">
      <c r="B187" s="698" t="s">
        <v>216</v>
      </c>
      <c r="C187" s="698"/>
      <c r="D187" s="698"/>
    </row>
    <row r="188" spans="2:4" x14ac:dyDescent="0.25">
      <c r="B188" s="148" t="s">
        <v>315</v>
      </c>
      <c r="C188" s="139" t="s">
        <v>329</v>
      </c>
      <c r="D188" s="405">
        <v>1</v>
      </c>
    </row>
    <row r="189" spans="2:4" x14ac:dyDescent="0.25">
      <c r="B189" s="148" t="s">
        <v>330</v>
      </c>
      <c r="C189" s="139" t="s">
        <v>318</v>
      </c>
      <c r="D189" s="405" t="e">
        <f>IF(#REF!=Matrices!E6,1,0)</f>
        <v>#REF!</v>
      </c>
    </row>
    <row r="190" spans="2:4" x14ac:dyDescent="0.25">
      <c r="B190" s="148" t="s">
        <v>331</v>
      </c>
      <c r="C190" s="141">
        <v>36792</v>
      </c>
      <c r="D190" s="405">
        <v>1</v>
      </c>
    </row>
    <row r="191" spans="2:4" x14ac:dyDescent="0.25">
      <c r="B191" s="148" t="s">
        <v>332</v>
      </c>
      <c r="C191" s="141">
        <v>30225</v>
      </c>
      <c r="D191" s="405">
        <v>1</v>
      </c>
    </row>
    <row r="192" spans="2:4" x14ac:dyDescent="0.25">
      <c r="B192" s="148" t="s">
        <v>333</v>
      </c>
      <c r="C192" s="176">
        <v>0.35</v>
      </c>
      <c r="D192" s="405" t="e">
        <v>#REF!</v>
      </c>
    </row>
    <row r="193" spans="2:4" x14ac:dyDescent="0.25">
      <c r="B193" s="148" t="s">
        <v>334</v>
      </c>
      <c r="C193" s="176">
        <v>0.35</v>
      </c>
      <c r="D193" s="405" t="e">
        <v>#REF!</v>
      </c>
    </row>
    <row r="194" spans="2:4" x14ac:dyDescent="0.25">
      <c r="B194" s="148" t="s">
        <v>335</v>
      </c>
      <c r="C194" s="139" t="s">
        <v>336</v>
      </c>
      <c r="D194" s="405" t="e">
        <v>#REF!</v>
      </c>
    </row>
    <row r="195" spans="2:4" x14ac:dyDescent="0.25">
      <c r="B195" s="148" t="s">
        <v>337</v>
      </c>
      <c r="C195" s="139" t="s">
        <v>322</v>
      </c>
      <c r="D195" s="405">
        <v>1</v>
      </c>
    </row>
    <row r="196" spans="2:4" x14ac:dyDescent="0.25">
      <c r="B196" s="148" t="s">
        <v>338</v>
      </c>
      <c r="C196" s="139" t="s">
        <v>339</v>
      </c>
      <c r="D196" s="405" t="e">
        <v>#REF!</v>
      </c>
    </row>
    <row r="197" spans="2:4" x14ac:dyDescent="0.25">
      <c r="B197" s="407" t="s">
        <v>340</v>
      </c>
      <c r="C197" s="176">
        <v>0.35</v>
      </c>
      <c r="D197" s="405" t="e">
        <v>#REF!</v>
      </c>
    </row>
    <row r="198" spans="2:4" x14ac:dyDescent="0.25">
      <c r="B198" s="407" t="s">
        <v>341</v>
      </c>
      <c r="C198" s="139" t="s">
        <v>200</v>
      </c>
      <c r="D198" s="405" t="e">
        <v>#REF!</v>
      </c>
    </row>
    <row r="199" spans="2:4" x14ac:dyDescent="0.25">
      <c r="B199" s="148" t="s">
        <v>342</v>
      </c>
      <c r="C199" s="405">
        <v>1743</v>
      </c>
      <c r="D199" s="405" t="e">
        <v>#REF!</v>
      </c>
    </row>
    <row r="200" spans="2:4" x14ac:dyDescent="0.25">
      <c r="B200" s="148" t="s">
        <v>343</v>
      </c>
      <c r="C200" s="191" t="e">
        <v>#REF!</v>
      </c>
      <c r="D200" s="405" t="e">
        <v>#REF!</v>
      </c>
    </row>
    <row r="201" spans="2:4" ht="15.75" x14ac:dyDescent="0.25">
      <c r="B201" s="698" t="s">
        <v>344</v>
      </c>
      <c r="C201" s="698"/>
      <c r="D201" s="698"/>
    </row>
    <row r="202" spans="2:4" x14ac:dyDescent="0.25">
      <c r="B202" s="148" t="s">
        <v>345</v>
      </c>
      <c r="C202" s="189">
        <v>45000</v>
      </c>
      <c r="D202" s="405">
        <v>1</v>
      </c>
    </row>
    <row r="203" spans="2:4" x14ac:dyDescent="0.25">
      <c r="B203" s="148" t="s">
        <v>346</v>
      </c>
      <c r="C203" s="139" t="s">
        <v>347</v>
      </c>
      <c r="D203" s="405">
        <v>1</v>
      </c>
    </row>
    <row r="207" spans="2:4" ht="15.75" x14ac:dyDescent="0.25">
      <c r="B207" s="698" t="s">
        <v>348</v>
      </c>
      <c r="C207" s="698"/>
      <c r="D207" s="698"/>
    </row>
    <row r="208" spans="2:4" x14ac:dyDescent="0.25">
      <c r="B208" s="148" t="s">
        <v>349</v>
      </c>
      <c r="C208" s="189" t="str">
        <f>C5</f>
        <v>PO</v>
      </c>
      <c r="D208" s="139">
        <v>1</v>
      </c>
    </row>
    <row r="209" spans="2:19" x14ac:dyDescent="0.25">
      <c r="B209" s="148" t="s">
        <v>350</v>
      </c>
      <c r="C209" s="189" t="s">
        <v>351</v>
      </c>
      <c r="D209" s="139">
        <v>1</v>
      </c>
    </row>
    <row r="210" spans="2:19" ht="15.75" thickBot="1" x14ac:dyDescent="0.3"/>
    <row r="211" spans="2:19" ht="16.5" thickBot="1" x14ac:dyDescent="0.3">
      <c r="B211" s="680" t="s">
        <v>352</v>
      </c>
      <c r="C211" s="681"/>
      <c r="D211" s="681"/>
      <c r="E211" s="681"/>
      <c r="F211" s="681"/>
      <c r="G211" s="681"/>
      <c r="H211" s="681"/>
      <c r="I211" s="681"/>
      <c r="J211" s="681"/>
      <c r="K211" s="681"/>
      <c r="L211" s="681"/>
      <c r="M211" s="681"/>
      <c r="N211" s="681"/>
      <c r="O211" s="681"/>
      <c r="P211" s="681"/>
      <c r="Q211" s="681"/>
      <c r="R211" s="681"/>
      <c r="S211" s="682"/>
    </row>
    <row r="214" spans="2:19" ht="78.75" x14ac:dyDescent="0.25">
      <c r="B214" s="408" t="s">
        <v>353</v>
      </c>
      <c r="C214" s="408" t="s">
        <v>354</v>
      </c>
      <c r="D214" s="408" t="s">
        <v>355</v>
      </c>
    </row>
    <row r="215" spans="2:19" ht="15" customHeight="1" x14ac:dyDescent="0.25">
      <c r="B215" s="409">
        <v>0</v>
      </c>
      <c r="C215" s="410">
        <v>10064</v>
      </c>
      <c r="D215" s="66">
        <f>B215*C220</f>
        <v>0</v>
      </c>
      <c r="E215" s="34"/>
      <c r="F215" s="34"/>
    </row>
    <row r="216" spans="2:19" x14ac:dyDescent="0.25">
      <c r="B216" s="409">
        <v>0.11</v>
      </c>
      <c r="C216" s="410">
        <v>25659</v>
      </c>
      <c r="D216" s="66">
        <f>IF($C$220&lt;C215,0,IF($C$220&gt;C216,(C216-C215)*B216,($C$220-C215)*B216))</f>
        <v>1715.45</v>
      </c>
      <c r="E216" s="34"/>
      <c r="F216" s="34"/>
    </row>
    <row r="217" spans="2:19" x14ac:dyDescent="0.25">
      <c r="B217" s="409">
        <v>0.3</v>
      </c>
      <c r="C217" s="410">
        <v>73369</v>
      </c>
      <c r="D217" s="66">
        <f>IF($C$220&lt;C216,0,IF($C$220&gt;C217,(C217-C216)*B217,($C$220-C216)*B217))</f>
        <v>5172.3</v>
      </c>
      <c r="E217" s="34"/>
    </row>
    <row r="218" spans="2:19" x14ac:dyDescent="0.25">
      <c r="B218" s="409">
        <v>0.41</v>
      </c>
      <c r="C218" s="410">
        <v>157806</v>
      </c>
      <c r="D218" s="66">
        <f>IF($C$220&lt;C217,0,IF($C$220&gt;C218,(C218-C217)*B218,($C$220-C217)*B218))</f>
        <v>0</v>
      </c>
    </row>
    <row r="219" spans="2:19" x14ac:dyDescent="0.25">
      <c r="B219" s="409">
        <v>0.45</v>
      </c>
      <c r="C219" s="410">
        <v>157807</v>
      </c>
      <c r="D219" s="66">
        <f>IF(C220&gt;C218,(C220-C218)*B219,0)</f>
        <v>0</v>
      </c>
    </row>
    <row r="220" spans="2:19" x14ac:dyDescent="0.25">
      <c r="B220" s="411" t="s">
        <v>356</v>
      </c>
      <c r="C220" s="412">
        <v>42900</v>
      </c>
      <c r="D220" s="413">
        <f>SUM(D215:D219)</f>
        <v>6887.75</v>
      </c>
    </row>
    <row r="221" spans="2:19" x14ac:dyDescent="0.25">
      <c r="B221" s="411" t="s">
        <v>357</v>
      </c>
      <c r="C221" s="412"/>
    </row>
    <row r="222" spans="2:19" x14ac:dyDescent="0.25">
      <c r="B222" s="411" t="s">
        <v>358</v>
      </c>
      <c r="C222" s="412"/>
    </row>
    <row r="223" spans="2:19" x14ac:dyDescent="0.25">
      <c r="B223" s="411" t="s">
        <v>359</v>
      </c>
      <c r="C223" s="412"/>
    </row>
    <row r="224" spans="2:19" x14ac:dyDescent="0.25">
      <c r="B224" s="411" t="s">
        <v>360</v>
      </c>
      <c r="C224" s="412"/>
    </row>
    <row r="225" spans="2:23" x14ac:dyDescent="0.25">
      <c r="B225" s="411" t="s">
        <v>361</v>
      </c>
      <c r="C225" s="412"/>
    </row>
    <row r="229" spans="2:23" ht="15.75" thickBot="1" x14ac:dyDescent="0.3"/>
    <row r="230" spans="2:23" ht="15" customHeight="1" x14ac:dyDescent="0.25">
      <c r="B230" s="671" t="s">
        <v>362</v>
      </c>
      <c r="C230" s="671"/>
      <c r="D230" s="671"/>
      <c r="E230" s="671"/>
      <c r="F230" s="671"/>
      <c r="G230" s="671"/>
      <c r="H230" s="671"/>
      <c r="I230" s="671"/>
      <c r="J230" s="671"/>
      <c r="K230" s="671"/>
      <c r="L230" s="672" t="s">
        <v>363</v>
      </c>
      <c r="M230" s="673"/>
      <c r="N230" s="674" t="s">
        <v>364</v>
      </c>
      <c r="O230" s="674"/>
      <c r="P230" s="674"/>
      <c r="Q230" s="674"/>
      <c r="R230" s="674"/>
      <c r="S230" s="674"/>
      <c r="T230" s="674"/>
    </row>
    <row r="231" spans="2:23" ht="15" customHeight="1" thickBot="1" x14ac:dyDescent="0.3">
      <c r="B231" s="414" t="s">
        <v>365</v>
      </c>
      <c r="C231" s="415"/>
      <c r="D231" s="415"/>
      <c r="E231" s="415"/>
      <c r="F231" s="415"/>
      <c r="G231" s="675" t="s">
        <v>366</v>
      </c>
      <c r="H231" s="676"/>
      <c r="I231" s="676"/>
      <c r="J231" s="676"/>
      <c r="K231" s="677"/>
      <c r="L231" s="678" t="s">
        <v>367</v>
      </c>
      <c r="M231" s="679"/>
      <c r="N231" s="674"/>
      <c r="O231" s="674"/>
      <c r="P231" s="674"/>
      <c r="Q231" s="674"/>
      <c r="R231" s="674"/>
      <c r="S231" s="674"/>
      <c r="T231" s="674"/>
    </row>
    <row r="232" spans="2:23" s="423" customFormat="1" ht="90.75" thickBot="1" x14ac:dyDescent="0.3">
      <c r="B232" s="416" t="s">
        <v>368</v>
      </c>
      <c r="C232" s="417" t="s">
        <v>369</v>
      </c>
      <c r="D232" s="417" t="s">
        <v>370</v>
      </c>
      <c r="E232" s="417" t="s">
        <v>371</v>
      </c>
      <c r="F232" s="417" t="s">
        <v>372</v>
      </c>
      <c r="G232" s="417" t="s">
        <v>373</v>
      </c>
      <c r="H232" s="417" t="s">
        <v>374</v>
      </c>
      <c r="I232" s="417" t="s">
        <v>375</v>
      </c>
      <c r="J232" s="417" t="s">
        <v>376</v>
      </c>
      <c r="K232" s="417" t="s">
        <v>377</v>
      </c>
      <c r="L232" s="418" t="s">
        <v>378</v>
      </c>
      <c r="M232" s="419" t="s">
        <v>379</v>
      </c>
      <c r="N232" s="420" t="s">
        <v>380</v>
      </c>
      <c r="O232" s="420" t="s">
        <v>381</v>
      </c>
      <c r="P232" s="420" t="s">
        <v>382</v>
      </c>
      <c r="Q232" s="420" t="s">
        <v>383</v>
      </c>
      <c r="R232" s="420" t="s">
        <v>384</v>
      </c>
      <c r="S232" s="420" t="s">
        <v>385</v>
      </c>
      <c r="T232" s="420" t="s">
        <v>386</v>
      </c>
      <c r="U232" s="421" t="s">
        <v>387</v>
      </c>
      <c r="V232" s="421" t="s">
        <v>388</v>
      </c>
      <c r="W232" s="422" t="s">
        <v>389</v>
      </c>
    </row>
    <row r="233" spans="2:23" x14ac:dyDescent="0.25">
      <c r="B233" s="424" t="s">
        <v>390</v>
      </c>
      <c r="C233" s="425" t="s">
        <v>391</v>
      </c>
      <c r="D233" s="424" t="s">
        <v>392</v>
      </c>
      <c r="E233" s="424" t="s">
        <v>393</v>
      </c>
      <c r="F233" s="424" t="s">
        <v>394</v>
      </c>
      <c r="G233" s="426">
        <v>1</v>
      </c>
      <c r="H233" s="425" t="s">
        <v>395</v>
      </c>
      <c r="I233" s="427">
        <v>86375</v>
      </c>
      <c r="J233" s="427">
        <v>222</v>
      </c>
      <c r="K233" s="427">
        <v>86597</v>
      </c>
      <c r="L233" s="428">
        <v>93300</v>
      </c>
      <c r="M233" s="429" t="s">
        <v>396</v>
      </c>
      <c r="N233" s="430">
        <v>0.26829999999999998</v>
      </c>
      <c r="O233" s="148"/>
      <c r="P233" s="148"/>
      <c r="Q233" s="430">
        <v>0.16289999999999999</v>
      </c>
      <c r="R233" s="431">
        <v>7.1199999935925001E-3</v>
      </c>
      <c r="S233" s="432">
        <v>2.1800000000000001E-3</v>
      </c>
      <c r="T233" s="433">
        <v>6.9399999976158144E-2</v>
      </c>
      <c r="U233" s="434"/>
      <c r="V233" s="434"/>
      <c r="W233" s="434"/>
    </row>
    <row r="234" spans="2:23" x14ac:dyDescent="0.25">
      <c r="B234" s="424" t="s">
        <v>390</v>
      </c>
      <c r="C234" s="425" t="s">
        <v>391</v>
      </c>
      <c r="D234" s="424" t="s">
        <v>392</v>
      </c>
      <c r="E234" s="424" t="s">
        <v>397</v>
      </c>
      <c r="F234" s="424" t="s">
        <v>398</v>
      </c>
      <c r="G234" s="426">
        <v>5</v>
      </c>
      <c r="H234" s="425" t="s">
        <v>399</v>
      </c>
      <c r="I234" s="427">
        <v>85740</v>
      </c>
      <c r="J234" s="427">
        <v>440</v>
      </c>
      <c r="K234" s="427">
        <v>86180</v>
      </c>
      <c r="L234" s="428">
        <v>93600</v>
      </c>
      <c r="M234" s="429" t="s">
        <v>400</v>
      </c>
      <c r="N234" s="430">
        <v>0.14399999999999999</v>
      </c>
      <c r="O234" s="148"/>
      <c r="P234" s="148"/>
      <c r="Q234" s="430">
        <v>0.16289999999999999</v>
      </c>
      <c r="R234" s="431">
        <v>7.1199999935925001E-3</v>
      </c>
      <c r="S234" s="432">
        <v>2.1800000000000001E-3</v>
      </c>
      <c r="T234" s="433">
        <v>9.5199999809265134E-2</v>
      </c>
      <c r="U234" s="148"/>
      <c r="V234" s="148"/>
      <c r="W234" s="148"/>
    </row>
    <row r="235" spans="2:23" x14ac:dyDescent="0.25">
      <c r="B235" s="424" t="s">
        <v>390</v>
      </c>
      <c r="C235" s="425" t="s">
        <v>391</v>
      </c>
      <c r="D235" s="424" t="s">
        <v>392</v>
      </c>
      <c r="E235" s="424" t="s">
        <v>401</v>
      </c>
      <c r="F235" s="424" t="s">
        <v>402</v>
      </c>
      <c r="G235" s="426">
        <v>6</v>
      </c>
      <c r="H235" s="425" t="s">
        <v>115</v>
      </c>
      <c r="I235" s="427">
        <v>35674</v>
      </c>
      <c r="J235" s="427">
        <v>123</v>
      </c>
      <c r="K235" s="427">
        <v>35797</v>
      </c>
      <c r="L235" s="428">
        <v>93170</v>
      </c>
      <c r="M235" s="429" t="s">
        <v>403</v>
      </c>
      <c r="N235" s="430">
        <v>0.26119999999999999</v>
      </c>
      <c r="O235" s="148"/>
      <c r="P235" s="148"/>
      <c r="Q235" s="430">
        <v>0.16289999999999999</v>
      </c>
      <c r="R235" s="431">
        <v>7.1199999935925001E-3</v>
      </c>
      <c r="S235" s="432">
        <v>2.1800000000000001E-3</v>
      </c>
      <c r="T235" s="433">
        <v>7.8599999994039535E-2</v>
      </c>
      <c r="U235" s="148"/>
      <c r="V235" s="148"/>
      <c r="W235" s="148"/>
    </row>
    <row r="236" spans="2:23" x14ac:dyDescent="0.25">
      <c r="B236" s="424" t="s">
        <v>390</v>
      </c>
      <c r="C236" s="425" t="s">
        <v>391</v>
      </c>
      <c r="D236" s="424" t="s">
        <v>392</v>
      </c>
      <c r="E236" s="424" t="s">
        <v>397</v>
      </c>
      <c r="F236" s="424" t="s">
        <v>404</v>
      </c>
      <c r="G236" s="426">
        <v>7</v>
      </c>
      <c r="H236" s="425" t="s">
        <v>405</v>
      </c>
      <c r="I236" s="427">
        <v>56783</v>
      </c>
      <c r="J236" s="427">
        <v>246</v>
      </c>
      <c r="K236" s="427">
        <v>57029</v>
      </c>
      <c r="L236" s="428">
        <v>93000</v>
      </c>
      <c r="M236" s="429" t="s">
        <v>400</v>
      </c>
      <c r="N236" s="430">
        <v>0.24729999999999999</v>
      </c>
      <c r="O236" s="148"/>
      <c r="P236" s="148"/>
      <c r="Q236" s="430">
        <v>0.16289999999999999</v>
      </c>
      <c r="R236" s="431">
        <v>7.1199999935925001E-3</v>
      </c>
      <c r="S236" s="432">
        <v>2.1800000000000001E-3</v>
      </c>
      <c r="T236" s="433">
        <v>0</v>
      </c>
      <c r="U236" s="148"/>
      <c r="V236" s="148"/>
      <c r="W236" s="148"/>
    </row>
    <row r="237" spans="2:23" x14ac:dyDescent="0.25">
      <c r="B237" s="424" t="s">
        <v>390</v>
      </c>
      <c r="C237" s="425" t="s">
        <v>391</v>
      </c>
      <c r="D237" s="424" t="s">
        <v>392</v>
      </c>
      <c r="E237" s="424" t="s">
        <v>401</v>
      </c>
      <c r="F237" s="424" t="s">
        <v>406</v>
      </c>
      <c r="G237" s="426">
        <v>8</v>
      </c>
      <c r="H237" s="425" t="s">
        <v>119</v>
      </c>
      <c r="I237" s="427">
        <v>53640</v>
      </c>
      <c r="J237" s="427">
        <v>174</v>
      </c>
      <c r="K237" s="427">
        <v>53814</v>
      </c>
      <c r="L237" s="428">
        <v>93140</v>
      </c>
      <c r="M237" s="429" t="s">
        <v>403</v>
      </c>
      <c r="N237" s="430">
        <v>0.25829999999999997</v>
      </c>
      <c r="O237" s="148"/>
      <c r="P237" s="148"/>
      <c r="Q237" s="430">
        <v>0.16289999999999999</v>
      </c>
      <c r="R237" s="431">
        <v>7.1199999935925001E-3</v>
      </c>
      <c r="S237" s="432">
        <v>2.1800000000000001E-3</v>
      </c>
      <c r="T237" s="433">
        <v>8.0199999809265135E-2</v>
      </c>
      <c r="U237" s="148"/>
      <c r="V237" s="148"/>
      <c r="W237" s="148"/>
    </row>
    <row r="238" spans="2:23" x14ac:dyDescent="0.25">
      <c r="B238" s="424" t="s">
        <v>390</v>
      </c>
      <c r="C238" s="425" t="s">
        <v>391</v>
      </c>
      <c r="D238" s="424" t="s">
        <v>392</v>
      </c>
      <c r="E238" s="424" t="s">
        <v>401</v>
      </c>
      <c r="F238" s="424" t="s">
        <v>407</v>
      </c>
      <c r="G238" s="426">
        <v>10</v>
      </c>
      <c r="H238" s="425" t="s">
        <v>122</v>
      </c>
      <c r="I238" s="427">
        <v>53353</v>
      </c>
      <c r="J238" s="427">
        <v>187</v>
      </c>
      <c r="K238" s="427">
        <v>53540</v>
      </c>
      <c r="L238" s="428">
        <v>93390</v>
      </c>
      <c r="M238" s="429" t="s">
        <v>403</v>
      </c>
      <c r="N238" s="430">
        <v>0.23499999999999999</v>
      </c>
      <c r="O238" s="148"/>
      <c r="P238" s="148"/>
      <c r="Q238" s="430">
        <v>0.16289999999999999</v>
      </c>
      <c r="R238" s="431">
        <v>7.1199999935925001E-3</v>
      </c>
      <c r="S238" s="432">
        <v>2.1800000000000001E-3</v>
      </c>
      <c r="T238" s="433">
        <v>8.8499999940395355E-2</v>
      </c>
      <c r="U238" s="148"/>
      <c r="V238" s="148"/>
      <c r="W238" s="148"/>
    </row>
    <row r="239" spans="2:23" x14ac:dyDescent="0.25">
      <c r="B239" s="424" t="s">
        <v>390</v>
      </c>
      <c r="C239" s="425" t="s">
        <v>391</v>
      </c>
      <c r="D239" s="424" t="s">
        <v>392</v>
      </c>
      <c r="E239" s="424" t="s">
        <v>397</v>
      </c>
      <c r="F239" s="424" t="s">
        <v>408</v>
      </c>
      <c r="G239" s="426">
        <v>13</v>
      </c>
      <c r="H239" s="425" t="s">
        <v>409</v>
      </c>
      <c r="I239" s="427">
        <v>16594</v>
      </c>
      <c r="J239" s="427">
        <v>49</v>
      </c>
      <c r="K239" s="427">
        <v>16643</v>
      </c>
      <c r="L239" s="428">
        <v>93470</v>
      </c>
      <c r="M239" s="429" t="s">
        <v>400</v>
      </c>
      <c r="N239" s="430">
        <v>0.18609999999999999</v>
      </c>
      <c r="O239" s="148"/>
      <c r="P239" s="148"/>
      <c r="Q239" s="430">
        <v>0.16289999999999999</v>
      </c>
      <c r="R239" s="431">
        <v>7.1199999935925001E-3</v>
      </c>
      <c r="S239" s="432">
        <v>2.1800000000000001E-3</v>
      </c>
      <c r="T239" s="433">
        <v>8.7399999797344211E-2</v>
      </c>
      <c r="U239" s="148"/>
      <c r="V239" s="148"/>
      <c r="W239" s="148"/>
    </row>
    <row r="240" spans="2:23" x14ac:dyDescent="0.25">
      <c r="B240" s="424" t="s">
        <v>390</v>
      </c>
      <c r="C240" s="425" t="s">
        <v>391</v>
      </c>
      <c r="D240" s="424" t="s">
        <v>392</v>
      </c>
      <c r="E240" s="424" t="s">
        <v>397</v>
      </c>
      <c r="F240" s="424" t="s">
        <v>390</v>
      </c>
      <c r="G240" s="426">
        <v>14</v>
      </c>
      <c r="H240" s="425" t="s">
        <v>135</v>
      </c>
      <c r="I240" s="427">
        <v>29348</v>
      </c>
      <c r="J240" s="427">
        <v>85</v>
      </c>
      <c r="K240" s="427">
        <v>29433</v>
      </c>
      <c r="L240" s="428">
        <v>93700</v>
      </c>
      <c r="M240" s="429" t="s">
        <v>410</v>
      </c>
      <c r="N240" s="430">
        <v>0.17499999999999999</v>
      </c>
      <c r="O240" s="148"/>
      <c r="P240" s="148"/>
      <c r="Q240" s="430">
        <v>0.16289999999999999</v>
      </c>
      <c r="R240" s="431">
        <v>7.1199999935925001E-3</v>
      </c>
      <c r="S240" s="432">
        <v>2.1800000000000001E-3</v>
      </c>
      <c r="T240" s="433">
        <v>0.11229999989271164</v>
      </c>
      <c r="U240" s="148"/>
      <c r="V240" s="148"/>
      <c r="W240" s="148"/>
    </row>
    <row r="241" spans="2:23" x14ac:dyDescent="0.25">
      <c r="B241" s="424" t="s">
        <v>390</v>
      </c>
      <c r="C241" s="425" t="s">
        <v>391</v>
      </c>
      <c r="D241" s="424" t="s">
        <v>392</v>
      </c>
      <c r="E241" s="424" t="s">
        <v>397</v>
      </c>
      <c r="F241" s="424" t="s">
        <v>411</v>
      </c>
      <c r="G241" s="426">
        <v>15</v>
      </c>
      <c r="H241" s="425" t="s">
        <v>138</v>
      </c>
      <c r="I241" s="427">
        <v>4833</v>
      </c>
      <c r="J241" s="427">
        <v>30</v>
      </c>
      <c r="K241" s="427">
        <v>4863</v>
      </c>
      <c r="L241" s="428">
        <v>93440</v>
      </c>
      <c r="M241" s="429" t="s">
        <v>410</v>
      </c>
      <c r="N241" s="430">
        <v>0.1331</v>
      </c>
      <c r="O241" s="148"/>
      <c r="P241" s="148"/>
      <c r="Q241" s="430">
        <v>0.16289999999999999</v>
      </c>
      <c r="R241" s="431">
        <v>7.1199999935925001E-3</v>
      </c>
      <c r="S241" s="432">
        <v>2.1800000000000001E-3</v>
      </c>
      <c r="T241" s="433">
        <v>8.7999999821186059E-2</v>
      </c>
      <c r="U241" s="148"/>
      <c r="V241" s="148"/>
      <c r="W241" s="148"/>
    </row>
    <row r="242" spans="2:23" x14ac:dyDescent="0.25">
      <c r="B242" s="424" t="s">
        <v>390</v>
      </c>
      <c r="C242" s="425" t="s">
        <v>391</v>
      </c>
      <c r="D242" s="424" t="s">
        <v>392</v>
      </c>
      <c r="E242" s="424" t="s">
        <v>393</v>
      </c>
      <c r="F242" s="424" t="s">
        <v>408</v>
      </c>
      <c r="G242" s="426">
        <v>27</v>
      </c>
      <c r="H242" s="425" t="s">
        <v>412</v>
      </c>
      <c r="I242" s="427">
        <v>43054</v>
      </c>
      <c r="J242" s="427">
        <v>149</v>
      </c>
      <c r="K242" s="427">
        <v>43203</v>
      </c>
      <c r="L242" s="428">
        <v>93800</v>
      </c>
      <c r="M242" s="429" t="s">
        <v>396</v>
      </c>
      <c r="N242" s="430">
        <v>0.25069999999999998</v>
      </c>
      <c r="O242" s="148"/>
      <c r="P242" s="148"/>
      <c r="Q242" s="430">
        <v>0.16289999999999999</v>
      </c>
      <c r="R242" s="431">
        <v>7.1199999935925001E-3</v>
      </c>
      <c r="S242" s="432">
        <v>2.1800000000000001E-3</v>
      </c>
      <c r="T242" s="433">
        <v>6.9399999976158144E-2</v>
      </c>
      <c r="U242" s="148"/>
      <c r="V242" s="148"/>
      <c r="W242" s="148"/>
    </row>
    <row r="243" spans="2:23" x14ac:dyDescent="0.25">
      <c r="B243" s="424" t="s">
        <v>390</v>
      </c>
      <c r="C243" s="425" t="s">
        <v>391</v>
      </c>
      <c r="D243" s="424" t="s">
        <v>392</v>
      </c>
      <c r="E243" s="424" t="s">
        <v>397</v>
      </c>
      <c r="F243" s="424" t="s">
        <v>413</v>
      </c>
      <c r="G243" s="426">
        <v>29</v>
      </c>
      <c r="H243" s="425" t="s">
        <v>414</v>
      </c>
      <c r="I243" s="427">
        <v>71318</v>
      </c>
      <c r="J243" s="427">
        <v>287</v>
      </c>
      <c r="K243" s="427">
        <v>71605</v>
      </c>
      <c r="L243" s="428">
        <v>93220</v>
      </c>
      <c r="M243" s="429" t="s">
        <v>400</v>
      </c>
      <c r="N243" s="430">
        <v>0.25259999999999999</v>
      </c>
      <c r="O243" s="148"/>
      <c r="P243" s="148"/>
      <c r="Q243" s="430">
        <v>0.16289999999999999</v>
      </c>
      <c r="R243" s="431">
        <v>7.1199999935925001E-3</v>
      </c>
      <c r="S243" s="432">
        <v>2.1800000000000001E-3</v>
      </c>
      <c r="T243" s="433">
        <v>8.7399999797344211E-2</v>
      </c>
      <c r="U243" s="148"/>
      <c r="V243" s="148"/>
      <c r="W243" s="148"/>
    </row>
    <row r="244" spans="2:23" x14ac:dyDescent="0.25">
      <c r="B244" s="424" t="s">
        <v>390</v>
      </c>
      <c r="C244" s="425" t="s">
        <v>391</v>
      </c>
      <c r="D244" s="424" t="s">
        <v>392</v>
      </c>
      <c r="E244" s="424" t="s">
        <v>397</v>
      </c>
      <c r="F244" s="424" t="s">
        <v>408</v>
      </c>
      <c r="G244" s="426">
        <v>30</v>
      </c>
      <c r="H244" s="425" t="s">
        <v>415</v>
      </c>
      <c r="I244" s="427">
        <v>10732</v>
      </c>
      <c r="J244" s="427">
        <v>40</v>
      </c>
      <c r="K244" s="427">
        <v>10772</v>
      </c>
      <c r="L244" s="428">
        <v>93460</v>
      </c>
      <c r="M244" s="429" t="s">
        <v>400</v>
      </c>
      <c r="N244" s="430">
        <v>0.31080000000000002</v>
      </c>
      <c r="O244" s="148"/>
      <c r="P244" s="148"/>
      <c r="Q244" s="430">
        <v>0.16289999999999999</v>
      </c>
      <c r="R244" s="431">
        <v>7.1199999935925001E-3</v>
      </c>
      <c r="S244" s="432">
        <v>2.1800000000000001E-3</v>
      </c>
      <c r="T244" s="433">
        <v>8.7399999797344211E-2</v>
      </c>
      <c r="U244" s="148"/>
      <c r="V244" s="148"/>
      <c r="W244" s="148"/>
    </row>
    <row r="245" spans="2:23" x14ac:dyDescent="0.25">
      <c r="B245" s="424" t="s">
        <v>390</v>
      </c>
      <c r="C245" s="425" t="s">
        <v>391</v>
      </c>
      <c r="D245" s="424" t="s">
        <v>392</v>
      </c>
      <c r="E245" s="424" t="s">
        <v>393</v>
      </c>
      <c r="F245" s="424" t="s">
        <v>416</v>
      </c>
      <c r="G245" s="426">
        <v>31</v>
      </c>
      <c r="H245" s="425" t="s">
        <v>417</v>
      </c>
      <c r="I245" s="427">
        <v>55084</v>
      </c>
      <c r="J245" s="427">
        <v>153</v>
      </c>
      <c r="K245" s="427">
        <v>55237</v>
      </c>
      <c r="L245" s="428">
        <v>93450</v>
      </c>
      <c r="M245" s="429" t="s">
        <v>396</v>
      </c>
      <c r="N245" s="430">
        <v>0.24060000000000001</v>
      </c>
      <c r="O245" s="148"/>
      <c r="P245" s="148"/>
      <c r="Q245" s="430">
        <v>0.16289999999999999</v>
      </c>
      <c r="R245" s="431">
        <v>7.1199999935925001E-3</v>
      </c>
      <c r="S245" s="432">
        <v>2.1800000000000001E-3</v>
      </c>
      <c r="T245" s="433">
        <v>6.9399999976158144E-2</v>
      </c>
      <c r="U245" s="148"/>
      <c r="V245" s="148"/>
      <c r="W245" s="148"/>
    </row>
    <row r="246" spans="2:23" x14ac:dyDescent="0.25">
      <c r="B246" s="424" t="s">
        <v>390</v>
      </c>
      <c r="C246" s="425" t="s">
        <v>391</v>
      </c>
      <c r="D246" s="424" t="s">
        <v>392</v>
      </c>
      <c r="E246" s="424" t="s">
        <v>397</v>
      </c>
      <c r="F246" s="424" t="s">
        <v>418</v>
      </c>
      <c r="G246" s="426">
        <v>32</v>
      </c>
      <c r="H246" s="425" t="s">
        <v>144</v>
      </c>
      <c r="I246" s="427">
        <v>39358</v>
      </c>
      <c r="J246" s="427">
        <v>177</v>
      </c>
      <c r="K246" s="427">
        <v>39535</v>
      </c>
      <c r="L246" s="428">
        <v>93120</v>
      </c>
      <c r="M246" s="429" t="s">
        <v>410</v>
      </c>
      <c r="N246" s="430">
        <v>0.20369999999999999</v>
      </c>
      <c r="O246" s="148"/>
      <c r="P246" s="148"/>
      <c r="Q246" s="430">
        <v>0.16289999999999999</v>
      </c>
      <c r="R246" s="431">
        <v>7.1199999935925001E-3</v>
      </c>
      <c r="S246" s="432">
        <v>2.1800000000000001E-3</v>
      </c>
      <c r="T246" s="433">
        <v>8.5099999904632573E-2</v>
      </c>
      <c r="U246" s="148"/>
      <c r="V246" s="148"/>
      <c r="W246" s="148"/>
    </row>
    <row r="247" spans="2:23" x14ac:dyDescent="0.25">
      <c r="B247" s="424" t="s">
        <v>390</v>
      </c>
      <c r="C247" s="425" t="s">
        <v>391</v>
      </c>
      <c r="D247" s="424" t="s">
        <v>392</v>
      </c>
      <c r="E247" s="424" t="s">
        <v>397</v>
      </c>
      <c r="F247" s="424" t="s">
        <v>419</v>
      </c>
      <c r="G247" s="426">
        <v>33</v>
      </c>
      <c r="H247" s="425" t="s">
        <v>147</v>
      </c>
      <c r="I247" s="427">
        <v>6869</v>
      </c>
      <c r="J247" s="427">
        <v>64</v>
      </c>
      <c r="K247" s="427">
        <v>6933</v>
      </c>
      <c r="L247" s="428">
        <v>93150</v>
      </c>
      <c r="M247" s="429" t="s">
        <v>410</v>
      </c>
      <c r="N247" s="430">
        <v>0.20860000000000001</v>
      </c>
      <c r="O247" s="148"/>
      <c r="P247" s="148"/>
      <c r="Q247" s="430">
        <v>0.16289999999999999</v>
      </c>
      <c r="R247" s="431">
        <v>7.1199999935925001E-3</v>
      </c>
      <c r="S247" s="432">
        <v>2.1800000000000001E-3</v>
      </c>
      <c r="T247" s="433">
        <v>6.0499999970197678E-2</v>
      </c>
      <c r="U247" s="148"/>
      <c r="V247" s="148"/>
      <c r="W247" s="148"/>
    </row>
    <row r="248" spans="2:23" x14ac:dyDescent="0.25">
      <c r="B248" s="424" t="s">
        <v>390</v>
      </c>
      <c r="C248" s="425" t="s">
        <v>391</v>
      </c>
      <c r="D248" s="424" t="s">
        <v>392</v>
      </c>
      <c r="E248" s="424" t="s">
        <v>393</v>
      </c>
      <c r="F248" s="424" t="s">
        <v>420</v>
      </c>
      <c r="G248" s="426">
        <v>39</v>
      </c>
      <c r="H248" s="425" t="s">
        <v>421</v>
      </c>
      <c r="I248" s="427">
        <v>7981</v>
      </c>
      <c r="J248" s="427">
        <v>35</v>
      </c>
      <c r="K248" s="427">
        <v>8016</v>
      </c>
      <c r="L248" s="428">
        <v>93350</v>
      </c>
      <c r="M248" s="429" t="s">
        <v>396</v>
      </c>
      <c r="N248" s="430">
        <v>0.27439999999999998</v>
      </c>
      <c r="O248" s="148"/>
      <c r="P248" s="148"/>
      <c r="Q248" s="430">
        <v>0.16289999999999999</v>
      </c>
      <c r="R248" s="431">
        <v>7.1199999935925001E-3</v>
      </c>
      <c r="S248" s="432">
        <v>2.1800000000000001E-3</v>
      </c>
      <c r="T248" s="433">
        <v>6.9399999976158144E-2</v>
      </c>
      <c r="U248" s="148"/>
      <c r="V248" s="148"/>
      <c r="W248" s="148"/>
    </row>
    <row r="249" spans="2:23" x14ac:dyDescent="0.25">
      <c r="B249" s="424" t="s">
        <v>390</v>
      </c>
      <c r="C249" s="425" t="s">
        <v>391</v>
      </c>
      <c r="D249" s="424" t="s">
        <v>392</v>
      </c>
      <c r="E249" s="424" t="s">
        <v>401</v>
      </c>
      <c r="F249" s="424" t="s">
        <v>402</v>
      </c>
      <c r="G249" s="426">
        <v>45</v>
      </c>
      <c r="H249" s="425" t="s">
        <v>160</v>
      </c>
      <c r="I249" s="427">
        <v>23045</v>
      </c>
      <c r="J249" s="427">
        <v>123</v>
      </c>
      <c r="K249" s="427">
        <v>23168</v>
      </c>
      <c r="L249" s="428">
        <v>93310</v>
      </c>
      <c r="M249" s="429" t="s">
        <v>403</v>
      </c>
      <c r="N249" s="430">
        <v>0.25230000000000002</v>
      </c>
      <c r="O249" s="148"/>
      <c r="P249" s="148"/>
      <c r="Q249" s="430">
        <v>0.16289999999999999</v>
      </c>
      <c r="R249" s="431">
        <v>7.1199999935925001E-3</v>
      </c>
      <c r="S249" s="432">
        <v>2.1800000000000001E-3</v>
      </c>
      <c r="T249" s="433">
        <v>7.5199999958276753E-2</v>
      </c>
      <c r="U249" s="148"/>
      <c r="V249" s="148"/>
      <c r="W249" s="148"/>
    </row>
    <row r="250" spans="2:23" x14ac:dyDescent="0.25">
      <c r="B250" s="424" t="s">
        <v>390</v>
      </c>
      <c r="C250" s="425" t="s">
        <v>391</v>
      </c>
      <c r="D250" s="424" t="s">
        <v>392</v>
      </c>
      <c r="E250" s="424" t="s">
        <v>397</v>
      </c>
      <c r="F250" s="424" t="s">
        <v>390</v>
      </c>
      <c r="G250" s="426">
        <v>46</v>
      </c>
      <c r="H250" s="425" t="s">
        <v>164</v>
      </c>
      <c r="I250" s="427">
        <v>44437</v>
      </c>
      <c r="J250" s="427">
        <v>224</v>
      </c>
      <c r="K250" s="427">
        <v>44661</v>
      </c>
      <c r="L250" s="428">
        <v>93340</v>
      </c>
      <c r="M250" s="429" t="s">
        <v>410</v>
      </c>
      <c r="N250" s="430">
        <v>0.19170000000000001</v>
      </c>
      <c r="O250" s="148"/>
      <c r="P250" s="148"/>
      <c r="Q250" s="430">
        <v>0.16289999999999999</v>
      </c>
      <c r="R250" s="431">
        <v>7.1199999935925001E-3</v>
      </c>
      <c r="S250" s="432">
        <v>2.1800000000000001E-3</v>
      </c>
      <c r="T250" s="433">
        <v>6.3299999982118604E-2</v>
      </c>
      <c r="U250" s="148"/>
      <c r="V250" s="148"/>
      <c r="W250" s="148"/>
    </row>
    <row r="251" spans="2:23" x14ac:dyDescent="0.25">
      <c r="B251" s="424" t="s">
        <v>390</v>
      </c>
      <c r="C251" s="425" t="s">
        <v>391</v>
      </c>
      <c r="D251" s="424" t="s">
        <v>392</v>
      </c>
      <c r="E251" s="424" t="s">
        <v>397</v>
      </c>
      <c r="F251" s="424" t="s">
        <v>411</v>
      </c>
      <c r="G251" s="426">
        <v>47</v>
      </c>
      <c r="H251" s="425" t="s">
        <v>168</v>
      </c>
      <c r="I251" s="427">
        <v>26783</v>
      </c>
      <c r="J251" s="427">
        <v>106</v>
      </c>
      <c r="K251" s="427">
        <v>26889</v>
      </c>
      <c r="L251" s="428">
        <v>93260</v>
      </c>
      <c r="M251" s="429" t="s">
        <v>410</v>
      </c>
      <c r="N251" s="430">
        <v>0.19220000000000001</v>
      </c>
      <c r="O251" s="148"/>
      <c r="P251" s="148"/>
      <c r="Q251" s="430">
        <v>0.16289999999999999</v>
      </c>
      <c r="R251" s="431">
        <v>7.1199999935925001E-3</v>
      </c>
      <c r="S251" s="432">
        <v>2.1800000000000001E-3</v>
      </c>
      <c r="T251" s="433">
        <v>6.8799999952316282E-2</v>
      </c>
      <c r="U251" s="148"/>
      <c r="V251" s="148"/>
      <c r="W251" s="148"/>
    </row>
    <row r="252" spans="2:23" x14ac:dyDescent="0.25">
      <c r="B252" s="424" t="s">
        <v>390</v>
      </c>
      <c r="C252" s="425" t="s">
        <v>391</v>
      </c>
      <c r="D252" s="424" t="s">
        <v>392</v>
      </c>
      <c r="E252" s="424" t="s">
        <v>401</v>
      </c>
      <c r="F252" s="424" t="s">
        <v>422</v>
      </c>
      <c r="G252" s="426">
        <v>48</v>
      </c>
      <c r="H252" s="425" t="s">
        <v>170</v>
      </c>
      <c r="I252" s="427">
        <v>109897</v>
      </c>
      <c r="J252" s="427">
        <v>577</v>
      </c>
      <c r="K252" s="427">
        <v>110474</v>
      </c>
      <c r="L252" s="428">
        <v>93320</v>
      </c>
      <c r="M252" s="429" t="s">
        <v>403</v>
      </c>
      <c r="N252" s="430">
        <v>0.22289999999999999</v>
      </c>
      <c r="O252" s="148"/>
      <c r="P252" s="148"/>
      <c r="Q252" s="430">
        <v>0.16289999999999999</v>
      </c>
      <c r="R252" s="431">
        <v>7.1199999935925001E-3</v>
      </c>
      <c r="S252" s="432">
        <v>2.1800000000000001E-3</v>
      </c>
      <c r="T252" s="433">
        <v>8.4799999892711642E-2</v>
      </c>
      <c r="U252" s="148"/>
      <c r="V252" s="148"/>
      <c r="W252" s="148"/>
    </row>
    <row r="253" spans="2:23" x14ac:dyDescent="0.25">
      <c r="B253" s="424" t="s">
        <v>390</v>
      </c>
      <c r="C253" s="425" t="s">
        <v>391</v>
      </c>
      <c r="D253" s="424" t="s">
        <v>392</v>
      </c>
      <c r="E253" s="424" t="s">
        <v>397</v>
      </c>
      <c r="F253" s="424" t="s">
        <v>423</v>
      </c>
      <c r="G253" s="426">
        <v>49</v>
      </c>
      <c r="H253" s="425" t="s">
        <v>172</v>
      </c>
      <c r="I253" s="427">
        <v>21150</v>
      </c>
      <c r="J253" s="427">
        <v>118</v>
      </c>
      <c r="K253" s="427">
        <v>21268</v>
      </c>
      <c r="L253" s="428">
        <v>93190</v>
      </c>
      <c r="M253" s="429" t="s">
        <v>410</v>
      </c>
      <c r="N253" s="430">
        <v>0.18290000000000001</v>
      </c>
      <c r="O253" s="148"/>
      <c r="P253" s="148"/>
      <c r="Q253" s="430">
        <v>0.16289999999999999</v>
      </c>
      <c r="R253" s="431">
        <v>7.1199999935925001E-3</v>
      </c>
      <c r="S253" s="432">
        <v>2.1800000000000001E-3</v>
      </c>
      <c r="T253" s="433">
        <v>8.349999994039535E-2</v>
      </c>
      <c r="U253" s="148"/>
      <c r="V253" s="148"/>
      <c r="W253" s="148"/>
    </row>
    <row r="254" spans="2:23" x14ac:dyDescent="0.25">
      <c r="B254" s="424" t="s">
        <v>390</v>
      </c>
      <c r="C254" s="425" t="s">
        <v>391</v>
      </c>
      <c r="D254" s="424" t="s">
        <v>392</v>
      </c>
      <c r="E254" s="424" t="s">
        <v>397</v>
      </c>
      <c r="F254" s="424" t="s">
        <v>418</v>
      </c>
      <c r="G254" s="426">
        <v>50</v>
      </c>
      <c r="H254" s="425" t="s">
        <v>173</v>
      </c>
      <c r="I254" s="427">
        <v>34993</v>
      </c>
      <c r="J254" s="427">
        <v>119</v>
      </c>
      <c r="K254" s="427">
        <v>35112</v>
      </c>
      <c r="L254" s="428">
        <v>93370</v>
      </c>
      <c r="M254" s="429" t="s">
        <v>410</v>
      </c>
      <c r="N254" s="430">
        <v>0.154</v>
      </c>
      <c r="O254" s="148"/>
      <c r="P254" s="148"/>
      <c r="Q254" s="430">
        <v>0.16289999999999999</v>
      </c>
      <c r="R254" s="431">
        <v>7.1199999935925001E-3</v>
      </c>
      <c r="S254" s="432">
        <v>2.1800000000000001E-3</v>
      </c>
      <c r="T254" s="433">
        <v>6.7500000000000004E-2</v>
      </c>
      <c r="U254" s="148"/>
      <c r="V254" s="148"/>
      <c r="W254" s="148"/>
    </row>
    <row r="255" spans="2:23" x14ac:dyDescent="0.25">
      <c r="B255" s="424" t="s">
        <v>390</v>
      </c>
      <c r="C255" s="425" t="s">
        <v>391</v>
      </c>
      <c r="D255" s="424" t="s">
        <v>392</v>
      </c>
      <c r="E255" s="424" t="s">
        <v>397</v>
      </c>
      <c r="F255" s="424" t="s">
        <v>419</v>
      </c>
      <c r="G255" s="426">
        <v>51</v>
      </c>
      <c r="H255" s="425" t="s">
        <v>175</v>
      </c>
      <c r="I255" s="427">
        <v>68183</v>
      </c>
      <c r="J255" s="427">
        <v>332</v>
      </c>
      <c r="K255" s="427">
        <v>68515</v>
      </c>
      <c r="L255" s="428">
        <v>93100</v>
      </c>
      <c r="M255" s="429" t="s">
        <v>410</v>
      </c>
      <c r="N255" s="430">
        <v>0.16980000000000001</v>
      </c>
      <c r="O255" s="148"/>
      <c r="P255" s="148"/>
      <c r="Q255" s="430">
        <v>0.16289999999999999</v>
      </c>
      <c r="R255" s="431">
        <v>7.1199999935925001E-3</v>
      </c>
      <c r="S255" s="432">
        <v>2.1800000000000001E-3</v>
      </c>
      <c r="T255" s="433">
        <v>5.6799999922513965E-2</v>
      </c>
      <c r="U255" s="148"/>
      <c r="V255" s="148"/>
      <c r="W255" s="148"/>
    </row>
    <row r="256" spans="2:23" x14ac:dyDescent="0.25">
      <c r="B256" s="424" t="s">
        <v>390</v>
      </c>
      <c r="C256" s="425" t="s">
        <v>391</v>
      </c>
      <c r="D256" s="424" t="s">
        <v>392</v>
      </c>
      <c r="E256" s="424" t="s">
        <v>401</v>
      </c>
      <c r="F256" s="424" t="s">
        <v>424</v>
      </c>
      <c r="G256" s="426">
        <v>53</v>
      </c>
      <c r="H256" s="425" t="s">
        <v>176</v>
      </c>
      <c r="I256" s="427">
        <v>44136</v>
      </c>
      <c r="J256" s="427">
        <v>138</v>
      </c>
      <c r="K256" s="427">
        <v>44274</v>
      </c>
      <c r="L256" s="428">
        <v>93360</v>
      </c>
      <c r="M256" s="429" t="s">
        <v>403</v>
      </c>
      <c r="N256" s="430">
        <v>0.28639999999999999</v>
      </c>
      <c r="O256" s="148"/>
      <c r="P256" s="148"/>
      <c r="Q256" s="430">
        <v>0.16289999999999999</v>
      </c>
      <c r="R256" s="431">
        <v>7.1199999935925001E-3</v>
      </c>
      <c r="S256" s="432">
        <v>2.1800000000000001E-3</v>
      </c>
      <c r="T256" s="433">
        <v>8.2199999988079073E-2</v>
      </c>
      <c r="U256" s="148"/>
      <c r="V256" s="148"/>
      <c r="W256" s="148"/>
    </row>
    <row r="257" spans="2:23" x14ac:dyDescent="0.25">
      <c r="B257" s="424" t="s">
        <v>390</v>
      </c>
      <c r="C257" s="425" t="s">
        <v>391</v>
      </c>
      <c r="D257" s="424" t="s">
        <v>392</v>
      </c>
      <c r="E257" s="424" t="s">
        <v>401</v>
      </c>
      <c r="F257" s="424" t="s">
        <v>425</v>
      </c>
      <c r="G257" s="426">
        <v>55</v>
      </c>
      <c r="H257" s="425" t="s">
        <v>177</v>
      </c>
      <c r="I257" s="427">
        <v>57482</v>
      </c>
      <c r="J257" s="427">
        <v>186</v>
      </c>
      <c r="K257" s="427">
        <v>57668</v>
      </c>
      <c r="L257" s="428">
        <v>93330</v>
      </c>
      <c r="M257" s="429" t="s">
        <v>403</v>
      </c>
      <c r="N257" s="430">
        <v>0.2387</v>
      </c>
      <c r="O257" s="148"/>
      <c r="P257" s="148"/>
      <c r="Q257" s="430">
        <v>0.16289999999999999</v>
      </c>
      <c r="R257" s="431">
        <v>7.1199999935925001E-3</v>
      </c>
      <c r="S257" s="432">
        <v>2.1800000000000001E-3</v>
      </c>
      <c r="T257" s="433">
        <v>7.5199999958276753E-2</v>
      </c>
      <c r="U257" s="148"/>
      <c r="V257" s="148"/>
      <c r="W257" s="148"/>
    </row>
    <row r="258" spans="2:23" ht="25.5" x14ac:dyDescent="0.25">
      <c r="B258" s="424" t="s">
        <v>390</v>
      </c>
      <c r="C258" s="425" t="s">
        <v>391</v>
      </c>
      <c r="D258" s="424" t="s">
        <v>392</v>
      </c>
      <c r="E258" s="424" t="s">
        <v>397</v>
      </c>
      <c r="F258" s="424" t="s">
        <v>407</v>
      </c>
      <c r="G258" s="426">
        <v>57</v>
      </c>
      <c r="H258" s="425" t="s">
        <v>162</v>
      </c>
      <c r="I258" s="427">
        <v>23962</v>
      </c>
      <c r="J258" s="427">
        <v>98</v>
      </c>
      <c r="K258" s="427">
        <v>24060</v>
      </c>
      <c r="L258" s="428">
        <v>93160</v>
      </c>
      <c r="M258" s="429" t="s">
        <v>410</v>
      </c>
      <c r="N258" s="430">
        <v>0.1918</v>
      </c>
      <c r="O258" s="148"/>
      <c r="P258" s="148"/>
      <c r="Q258" s="430">
        <v>0.16289999999999999</v>
      </c>
      <c r="R258" s="431">
        <v>7.1199999935925001E-3</v>
      </c>
      <c r="S258" s="432">
        <v>2.1800000000000001E-3</v>
      </c>
      <c r="T258" s="433">
        <v>7.7799999862909322E-2</v>
      </c>
      <c r="U258" s="148"/>
      <c r="V258" s="148"/>
      <c r="W258" s="148"/>
    </row>
    <row r="259" spans="2:23" x14ac:dyDescent="0.25">
      <c r="B259" s="424" t="s">
        <v>390</v>
      </c>
      <c r="C259" s="425" t="s">
        <v>391</v>
      </c>
      <c r="D259" s="424" t="s">
        <v>392</v>
      </c>
      <c r="E259" s="424" t="s">
        <v>393</v>
      </c>
      <c r="F259" s="424" t="s">
        <v>426</v>
      </c>
      <c r="G259" s="426">
        <v>59</v>
      </c>
      <c r="H259" s="425" t="s">
        <v>427</v>
      </c>
      <c r="I259" s="427">
        <v>30306</v>
      </c>
      <c r="J259" s="427">
        <v>81</v>
      </c>
      <c r="K259" s="427">
        <v>30387</v>
      </c>
      <c r="L259" s="428">
        <v>93130</v>
      </c>
      <c r="M259" s="429" t="s">
        <v>396</v>
      </c>
      <c r="N259" s="430">
        <v>0.27679999999999999</v>
      </c>
      <c r="O259" s="148"/>
      <c r="P259" s="148"/>
      <c r="Q259" s="430">
        <v>0.16289999999999999</v>
      </c>
      <c r="R259" s="431">
        <v>7.1199999935925001E-3</v>
      </c>
      <c r="S259" s="432">
        <v>2.1800000000000001E-3</v>
      </c>
      <c r="T259" s="433">
        <v>6.9399999976158144E-2</v>
      </c>
      <c r="U259" s="148"/>
      <c r="V259" s="148"/>
      <c r="W259" s="148"/>
    </row>
    <row r="260" spans="2:23" x14ac:dyDescent="0.25">
      <c r="B260" s="424" t="s">
        <v>390</v>
      </c>
      <c r="C260" s="425" t="s">
        <v>391</v>
      </c>
      <c r="D260" s="424" t="s">
        <v>392</v>
      </c>
      <c r="E260" s="424" t="s">
        <v>401</v>
      </c>
      <c r="F260" s="424" t="s">
        <v>425</v>
      </c>
      <c r="G260" s="426">
        <v>61</v>
      </c>
      <c r="H260" s="425" t="s">
        <v>156</v>
      </c>
      <c r="I260" s="427">
        <v>17950</v>
      </c>
      <c r="J260" s="427">
        <v>90</v>
      </c>
      <c r="K260" s="427">
        <v>18040</v>
      </c>
      <c r="L260" s="428">
        <v>93500</v>
      </c>
      <c r="M260" s="429" t="s">
        <v>403</v>
      </c>
      <c r="N260" s="430">
        <v>0.26939999999999997</v>
      </c>
      <c r="O260" s="148"/>
      <c r="P260" s="148"/>
      <c r="Q260" s="430">
        <v>0.16289999999999999</v>
      </c>
      <c r="R260" s="431">
        <v>7.1199999935925001E-3</v>
      </c>
      <c r="S260" s="432">
        <v>2.1800000000000001E-3</v>
      </c>
      <c r="T260" s="433">
        <v>7.8699999898672102E-2</v>
      </c>
      <c r="U260" s="148"/>
      <c r="V260" s="148"/>
      <c r="W260" s="148"/>
    </row>
    <row r="261" spans="2:23" x14ac:dyDescent="0.25">
      <c r="B261" s="424" t="s">
        <v>390</v>
      </c>
      <c r="C261" s="425" t="s">
        <v>391</v>
      </c>
      <c r="D261" s="424" t="s">
        <v>392</v>
      </c>
      <c r="E261" s="424" t="s">
        <v>397</v>
      </c>
      <c r="F261" s="424" t="s">
        <v>423</v>
      </c>
      <c r="G261" s="426">
        <v>62</v>
      </c>
      <c r="H261" s="425" t="s">
        <v>158</v>
      </c>
      <c r="I261" s="427">
        <v>14648</v>
      </c>
      <c r="J261" s="427">
        <v>228</v>
      </c>
      <c r="K261" s="427">
        <v>14876</v>
      </c>
      <c r="L261" s="428">
        <v>93380</v>
      </c>
      <c r="M261" s="429" t="s">
        <v>410</v>
      </c>
      <c r="N261" s="430">
        <v>0.1565</v>
      </c>
      <c r="O261" s="148"/>
      <c r="P261" s="148"/>
      <c r="Q261" s="430">
        <v>0.16289999999999999</v>
      </c>
      <c r="R261" s="431">
        <v>7.1199999935925001E-3</v>
      </c>
      <c r="S261" s="432">
        <v>2.1800000000000001E-3</v>
      </c>
      <c r="T261" s="433">
        <v>5.78999999165535E-2</v>
      </c>
      <c r="U261" s="148"/>
      <c r="V261" s="148"/>
      <c r="W261" s="148"/>
    </row>
    <row r="262" spans="2:23" x14ac:dyDescent="0.25">
      <c r="B262" s="424" t="s">
        <v>390</v>
      </c>
      <c r="C262" s="425" t="s">
        <v>391</v>
      </c>
      <c r="D262" s="424" t="s">
        <v>392</v>
      </c>
      <c r="E262" s="424" t="s">
        <v>401</v>
      </c>
      <c r="F262" s="424" t="s">
        <v>402</v>
      </c>
      <c r="G262" s="426">
        <v>63</v>
      </c>
      <c r="H262" s="425" t="s">
        <v>178</v>
      </c>
      <c r="I262" s="427">
        <v>27567</v>
      </c>
      <c r="J262" s="427">
        <v>88</v>
      </c>
      <c r="K262" s="427">
        <v>27655</v>
      </c>
      <c r="L262" s="428">
        <v>93230</v>
      </c>
      <c r="M262" s="429" t="s">
        <v>403</v>
      </c>
      <c r="N262" s="430">
        <v>0.24210000000000001</v>
      </c>
      <c r="O262" s="148"/>
      <c r="P262" s="148"/>
      <c r="Q262" s="430">
        <v>0.16289999999999999</v>
      </c>
      <c r="R262" s="431">
        <v>7.1199999935925001E-3</v>
      </c>
      <c r="S262" s="432">
        <v>2.1800000000000001E-3</v>
      </c>
      <c r="T262" s="433">
        <v>7.7299999892711635E-2</v>
      </c>
      <c r="U262" s="148"/>
      <c r="V262" s="148"/>
      <c r="W262" s="148"/>
    </row>
    <row r="263" spans="2:23" x14ac:dyDescent="0.25">
      <c r="B263" s="424" t="s">
        <v>390</v>
      </c>
      <c r="C263" s="425" t="s">
        <v>391</v>
      </c>
      <c r="D263" s="424" t="s">
        <v>392</v>
      </c>
      <c r="E263" s="424" t="s">
        <v>397</v>
      </c>
      <c r="F263" s="424" t="s">
        <v>428</v>
      </c>
      <c r="G263" s="426">
        <v>64</v>
      </c>
      <c r="H263" s="425" t="s">
        <v>179</v>
      </c>
      <c r="I263" s="427">
        <v>46207</v>
      </c>
      <c r="J263" s="427">
        <v>188</v>
      </c>
      <c r="K263" s="427">
        <v>46395</v>
      </c>
      <c r="L263" s="428">
        <v>93110</v>
      </c>
      <c r="M263" s="429" t="s">
        <v>410</v>
      </c>
      <c r="N263" s="430">
        <v>0.21340000000000001</v>
      </c>
      <c r="O263" s="148"/>
      <c r="P263" s="148"/>
      <c r="Q263" s="430">
        <v>0.16289999999999999</v>
      </c>
      <c r="R263" s="431">
        <v>7.1199999935925001E-3</v>
      </c>
      <c r="S263" s="432">
        <v>2.1800000000000001E-3</v>
      </c>
      <c r="T263" s="433">
        <v>6.6799999922513967E-2</v>
      </c>
      <c r="U263" s="148"/>
      <c r="V263" s="148"/>
      <c r="W263" s="148"/>
    </row>
    <row r="264" spans="2:23" x14ac:dyDescent="0.25">
      <c r="B264" s="424" t="s">
        <v>390</v>
      </c>
      <c r="C264" s="425" t="s">
        <v>391</v>
      </c>
      <c r="D264" s="424" t="s">
        <v>392</v>
      </c>
      <c r="E264" s="424" t="s">
        <v>393</v>
      </c>
      <c r="F264" s="424" t="s">
        <v>429</v>
      </c>
      <c r="G264" s="426">
        <v>66</v>
      </c>
      <c r="H264" s="425" t="s">
        <v>430</v>
      </c>
      <c r="I264" s="427">
        <v>111135</v>
      </c>
      <c r="J264" s="427">
        <v>813</v>
      </c>
      <c r="K264" s="427">
        <v>111948</v>
      </c>
      <c r="L264" s="428">
        <v>93200</v>
      </c>
      <c r="M264" s="429" t="s">
        <v>396</v>
      </c>
      <c r="N264" s="430">
        <v>0.22650000000000001</v>
      </c>
      <c r="O264" s="148"/>
      <c r="P264" s="148"/>
      <c r="Q264" s="430">
        <v>0.16289999999999999</v>
      </c>
      <c r="R264" s="431">
        <v>7.1199999935925001E-3</v>
      </c>
      <c r="S264" s="432">
        <v>2.1800000000000001E-3</v>
      </c>
      <c r="T264" s="433">
        <v>6.9399999976158144E-2</v>
      </c>
      <c r="U264" s="148"/>
      <c r="V264" s="148"/>
      <c r="W264" s="148"/>
    </row>
    <row r="265" spans="2:23" x14ac:dyDescent="0.25">
      <c r="B265" s="424" t="s">
        <v>390</v>
      </c>
      <c r="C265" s="425" t="s">
        <v>391</v>
      </c>
      <c r="D265" s="424" t="s">
        <v>392</v>
      </c>
      <c r="E265" s="424" t="s">
        <v>393</v>
      </c>
      <c r="F265" s="424" t="s">
        <v>420</v>
      </c>
      <c r="G265" s="426">
        <v>70</v>
      </c>
      <c r="H265" s="425" t="s">
        <v>431</v>
      </c>
      <c r="I265" s="427">
        <v>51108</v>
      </c>
      <c r="J265" s="427">
        <v>160</v>
      </c>
      <c r="K265" s="427">
        <v>51268</v>
      </c>
      <c r="L265" s="428">
        <v>93400</v>
      </c>
      <c r="M265" s="429" t="s">
        <v>396</v>
      </c>
      <c r="N265" s="430">
        <v>0.16919999999999999</v>
      </c>
      <c r="O265" s="148"/>
      <c r="P265" s="148"/>
      <c r="Q265" s="430">
        <v>0.16289999999999999</v>
      </c>
      <c r="R265" s="431">
        <v>7.1199999935925001E-3</v>
      </c>
      <c r="S265" s="432">
        <v>2.1800000000000001E-3</v>
      </c>
      <c r="T265" s="433">
        <v>5.8499999940395356E-2</v>
      </c>
      <c r="U265" s="148"/>
      <c r="V265" s="148"/>
      <c r="W265" s="148"/>
    </row>
    <row r="266" spans="2:23" x14ac:dyDescent="0.25">
      <c r="B266" s="424" t="s">
        <v>390</v>
      </c>
      <c r="C266" s="425" t="s">
        <v>391</v>
      </c>
      <c r="D266" s="424" t="s">
        <v>392</v>
      </c>
      <c r="E266" s="424" t="s">
        <v>397</v>
      </c>
      <c r="F266" s="424" t="s">
        <v>432</v>
      </c>
      <c r="G266" s="426">
        <v>71</v>
      </c>
      <c r="H266" s="425" t="s">
        <v>433</v>
      </c>
      <c r="I266" s="427">
        <v>51016</v>
      </c>
      <c r="J266" s="427">
        <v>185</v>
      </c>
      <c r="K266" s="427">
        <v>51201</v>
      </c>
      <c r="L266" s="428">
        <v>93270</v>
      </c>
      <c r="M266" s="429" t="s">
        <v>400</v>
      </c>
      <c r="N266" s="430">
        <v>0.26200000000000001</v>
      </c>
      <c r="O266" s="148"/>
      <c r="P266" s="148"/>
      <c r="Q266" s="430">
        <v>0.16289999999999999</v>
      </c>
      <c r="R266" s="431">
        <v>7.1199999935925001E-3</v>
      </c>
      <c r="S266" s="432">
        <v>2.1800000000000001E-3</v>
      </c>
      <c r="T266" s="433">
        <v>1.7899999991059304E-2</v>
      </c>
      <c r="U266" s="148"/>
      <c r="V266" s="148"/>
      <c r="W266" s="148"/>
    </row>
    <row r="267" spans="2:23" x14ac:dyDescent="0.25">
      <c r="B267" s="424" t="s">
        <v>390</v>
      </c>
      <c r="C267" s="425" t="s">
        <v>391</v>
      </c>
      <c r="D267" s="424" t="s">
        <v>392</v>
      </c>
      <c r="E267" s="424" t="s">
        <v>393</v>
      </c>
      <c r="F267" s="424" t="s">
        <v>434</v>
      </c>
      <c r="G267" s="426">
        <v>72</v>
      </c>
      <c r="H267" s="425" t="s">
        <v>435</v>
      </c>
      <c r="I267" s="427">
        <v>38720</v>
      </c>
      <c r="J267" s="427">
        <v>103</v>
      </c>
      <c r="K267" s="427">
        <v>38823</v>
      </c>
      <c r="L267" s="428">
        <v>93240</v>
      </c>
      <c r="M267" s="429" t="s">
        <v>396</v>
      </c>
      <c r="N267" s="430">
        <v>0.249</v>
      </c>
      <c r="O267" s="148"/>
      <c r="P267" s="148"/>
      <c r="Q267" s="430">
        <v>0.16289999999999999</v>
      </c>
      <c r="R267" s="431">
        <v>7.1199999935925001E-3</v>
      </c>
      <c r="S267" s="432">
        <v>2.1800000000000001E-3</v>
      </c>
      <c r="T267" s="433">
        <v>6.9399999976158144E-2</v>
      </c>
      <c r="U267" s="148"/>
      <c r="V267" s="148"/>
      <c r="W267" s="148"/>
    </row>
    <row r="268" spans="2:23" x14ac:dyDescent="0.25">
      <c r="B268" s="424" t="s">
        <v>390</v>
      </c>
      <c r="C268" s="425" t="s">
        <v>391</v>
      </c>
      <c r="D268" s="424" t="s">
        <v>392</v>
      </c>
      <c r="E268" s="424" t="s">
        <v>397</v>
      </c>
      <c r="F268" s="424" t="s">
        <v>411</v>
      </c>
      <c r="G268" s="426">
        <v>73</v>
      </c>
      <c r="H268" s="425" t="s">
        <v>436</v>
      </c>
      <c r="I268" s="427">
        <v>36180</v>
      </c>
      <c r="J268" s="427">
        <v>165</v>
      </c>
      <c r="K268" s="427">
        <v>36345</v>
      </c>
      <c r="L268" s="428">
        <v>93290</v>
      </c>
      <c r="M268" s="429" t="s">
        <v>400</v>
      </c>
      <c r="N268" s="430">
        <v>0.22770000000000001</v>
      </c>
      <c r="O268" s="148"/>
      <c r="P268" s="148"/>
      <c r="Q268" s="430">
        <v>0.16289999999999999</v>
      </c>
      <c r="R268" s="431">
        <v>7.1199999935925001E-3</v>
      </c>
      <c r="S268" s="432">
        <v>2.1800000000000001E-3</v>
      </c>
      <c r="T268" s="433">
        <v>1.7899999991059304E-2</v>
      </c>
      <c r="U268" s="148"/>
      <c r="V268" s="148"/>
      <c r="W268" s="148"/>
    </row>
    <row r="269" spans="2:23" x14ac:dyDescent="0.25">
      <c r="B269" s="424" t="s">
        <v>390</v>
      </c>
      <c r="C269" s="425" t="s">
        <v>391</v>
      </c>
      <c r="D269" s="424" t="s">
        <v>392</v>
      </c>
      <c r="E269" s="424" t="s">
        <v>397</v>
      </c>
      <c r="F269" s="424" t="s">
        <v>411</v>
      </c>
      <c r="G269" s="426">
        <v>74</v>
      </c>
      <c r="H269" s="425" t="s">
        <v>183</v>
      </c>
      <c r="I269" s="427">
        <v>7030</v>
      </c>
      <c r="J269" s="427">
        <v>87</v>
      </c>
      <c r="K269" s="427">
        <v>7117</v>
      </c>
      <c r="L269" s="428">
        <v>93410</v>
      </c>
      <c r="M269" s="429" t="s">
        <v>410</v>
      </c>
      <c r="N269" s="430">
        <v>7.6799999999999993E-2</v>
      </c>
      <c r="O269" s="148"/>
      <c r="P269" s="148"/>
      <c r="Q269" s="430">
        <v>0.16289999999999999</v>
      </c>
      <c r="R269" s="431">
        <v>7.1199999935925001E-3</v>
      </c>
      <c r="S269" s="432">
        <v>2.1800000000000001E-3</v>
      </c>
      <c r="T269" s="433">
        <v>9.2399999797344201E-2</v>
      </c>
      <c r="U269" s="435"/>
    </row>
    <row r="270" spans="2:23" x14ac:dyDescent="0.25">
      <c r="B270" s="424" t="s">
        <v>390</v>
      </c>
      <c r="C270" s="425" t="s">
        <v>391</v>
      </c>
      <c r="D270" s="424" t="s">
        <v>392</v>
      </c>
      <c r="E270" s="424" t="s">
        <v>397</v>
      </c>
      <c r="F270" s="424" t="s">
        <v>423</v>
      </c>
      <c r="G270" s="426">
        <v>77</v>
      </c>
      <c r="H270" s="425" t="s">
        <v>184</v>
      </c>
      <c r="I270" s="427">
        <v>29964</v>
      </c>
      <c r="J270" s="427">
        <v>188</v>
      </c>
      <c r="K270" s="427">
        <v>30152</v>
      </c>
      <c r="L270" s="428">
        <v>93250</v>
      </c>
      <c r="M270" s="429" t="s">
        <v>410</v>
      </c>
      <c r="N270" s="430">
        <v>0.15659999999999999</v>
      </c>
      <c r="O270" s="148"/>
      <c r="P270" s="148"/>
      <c r="Q270" s="430">
        <v>0.16289999999999999</v>
      </c>
      <c r="R270" s="431">
        <v>7.1199999935925001E-3</v>
      </c>
      <c r="S270" s="432">
        <v>2.1800000000000001E-3</v>
      </c>
      <c r="T270" s="433">
        <v>6.3899999856948858E-2</v>
      </c>
      <c r="U270" s="435"/>
    </row>
    <row r="271" spans="2:23" x14ac:dyDescent="0.25">
      <c r="B271" s="424" t="s">
        <v>390</v>
      </c>
      <c r="C271" s="425" t="s">
        <v>391</v>
      </c>
      <c r="D271" s="424" t="s">
        <v>392</v>
      </c>
      <c r="E271" s="424" t="s">
        <v>397</v>
      </c>
      <c r="F271" s="424" t="s">
        <v>432</v>
      </c>
      <c r="G271" s="426">
        <v>78</v>
      </c>
      <c r="H271" s="425" t="s">
        <v>437</v>
      </c>
      <c r="I271" s="427">
        <v>36830</v>
      </c>
      <c r="J271" s="427">
        <v>104</v>
      </c>
      <c r="K271" s="427">
        <v>36934</v>
      </c>
      <c r="L271" s="428">
        <v>93420</v>
      </c>
      <c r="M271" s="429" t="s">
        <v>400</v>
      </c>
      <c r="N271" s="430">
        <v>0.3155</v>
      </c>
      <c r="O271" s="148"/>
      <c r="P271" s="148"/>
      <c r="Q271" s="430">
        <v>0.16289999999999999</v>
      </c>
      <c r="R271" s="431">
        <v>7.1199999935925001E-3</v>
      </c>
      <c r="S271" s="432">
        <v>2.1800000000000001E-3</v>
      </c>
      <c r="T271" s="433">
        <v>1.7899999991059304E-2</v>
      </c>
      <c r="U271" s="435"/>
    </row>
    <row r="272" spans="2:23" x14ac:dyDescent="0.25">
      <c r="B272" s="424" t="s">
        <v>390</v>
      </c>
      <c r="C272" s="425" t="s">
        <v>391</v>
      </c>
      <c r="D272" s="424" t="s">
        <v>392</v>
      </c>
      <c r="E272" s="424" t="s">
        <v>393</v>
      </c>
      <c r="F272" s="424" t="s">
        <v>426</v>
      </c>
      <c r="G272" s="426">
        <v>79</v>
      </c>
      <c r="H272" s="425" t="s">
        <v>438</v>
      </c>
      <c r="I272" s="427">
        <v>13646</v>
      </c>
      <c r="J272" s="427">
        <v>60</v>
      </c>
      <c r="K272" s="427">
        <v>13706</v>
      </c>
      <c r="L272" s="428">
        <v>93430</v>
      </c>
      <c r="M272" s="429" t="s">
        <v>396</v>
      </c>
      <c r="N272" s="430">
        <v>0.26440000000000002</v>
      </c>
      <c r="O272" s="148"/>
      <c r="P272" s="148"/>
      <c r="Q272" s="430">
        <v>0.16289999999999999</v>
      </c>
      <c r="R272" s="431">
        <v>7.1199999935925001E-3</v>
      </c>
      <c r="S272" s="432">
        <v>2.1800000000000001E-3</v>
      </c>
      <c r="T272" s="433">
        <v>6.9399999976158144E-2</v>
      </c>
      <c r="U272" s="435"/>
    </row>
    <row r="273" spans="2:21" x14ac:dyDescent="0.25">
      <c r="B273" s="424" t="s">
        <v>390</v>
      </c>
      <c r="C273" s="425" t="s">
        <v>391</v>
      </c>
      <c r="D273" s="424" t="s">
        <v>439</v>
      </c>
      <c r="E273" s="424" t="s">
        <v>393</v>
      </c>
      <c r="F273" s="424" t="s">
        <v>425</v>
      </c>
      <c r="G273" s="424">
        <v>1</v>
      </c>
      <c r="H273" s="425" t="s">
        <v>440</v>
      </c>
      <c r="I273" s="427">
        <v>5785</v>
      </c>
      <c r="J273" s="427">
        <v>26</v>
      </c>
      <c r="K273" s="427">
        <v>5811</v>
      </c>
      <c r="L273" s="428">
        <v>94480</v>
      </c>
      <c r="M273" s="429" t="s">
        <v>441</v>
      </c>
      <c r="N273" s="430">
        <v>0.249</v>
      </c>
      <c r="O273" s="148"/>
      <c r="P273" s="148"/>
      <c r="Q273" s="430">
        <v>0.13750000000000001</v>
      </c>
      <c r="R273" s="431">
        <v>7.1199999935925001E-3</v>
      </c>
      <c r="S273" s="432">
        <v>2.1800000000000001E-3</v>
      </c>
      <c r="T273" s="433">
        <v>7.5399999916553495E-2</v>
      </c>
      <c r="U273" s="435"/>
    </row>
    <row r="274" spans="2:21" x14ac:dyDescent="0.25">
      <c r="B274" s="424" t="s">
        <v>390</v>
      </c>
      <c r="C274" s="425" t="s">
        <v>391</v>
      </c>
      <c r="D274" s="424" t="s">
        <v>439</v>
      </c>
      <c r="E274" s="424" t="s">
        <v>401</v>
      </c>
      <c r="F274" s="424" t="s">
        <v>394</v>
      </c>
      <c r="G274" s="424">
        <v>2</v>
      </c>
      <c r="H274" s="425" t="s">
        <v>442</v>
      </c>
      <c r="I274" s="427">
        <v>43881</v>
      </c>
      <c r="J274" s="427">
        <v>182</v>
      </c>
      <c r="K274" s="427">
        <v>44063</v>
      </c>
      <c r="L274" s="428">
        <v>94140</v>
      </c>
      <c r="M274" s="429" t="s">
        <v>443</v>
      </c>
      <c r="N274" s="430">
        <v>0.2082</v>
      </c>
      <c r="O274" s="148"/>
      <c r="P274" s="148"/>
      <c r="Q274" s="430">
        <v>0.13750000000000001</v>
      </c>
      <c r="R274" s="431">
        <v>7.1199999935925001E-3</v>
      </c>
      <c r="S274" s="432">
        <v>2.1800000000000001E-3</v>
      </c>
      <c r="T274" s="433">
        <v>7.9599999934434895E-2</v>
      </c>
      <c r="U274" s="435"/>
    </row>
    <row r="275" spans="2:21" x14ac:dyDescent="0.25">
      <c r="B275" s="424" t="s">
        <v>390</v>
      </c>
      <c r="C275" s="425" t="s">
        <v>391</v>
      </c>
      <c r="D275" s="424" t="s">
        <v>439</v>
      </c>
      <c r="E275" s="424" t="s">
        <v>393</v>
      </c>
      <c r="F275" s="424" t="s">
        <v>398</v>
      </c>
      <c r="G275" s="424">
        <v>3</v>
      </c>
      <c r="H275" s="425" t="s">
        <v>444</v>
      </c>
      <c r="I275" s="427">
        <v>21501</v>
      </c>
      <c r="J275" s="427">
        <v>131</v>
      </c>
      <c r="K275" s="427">
        <v>21632</v>
      </c>
      <c r="L275" s="428">
        <v>94110</v>
      </c>
      <c r="M275" s="429" t="s">
        <v>441</v>
      </c>
      <c r="N275" s="430">
        <v>0.20949999999999999</v>
      </c>
      <c r="O275" s="148"/>
      <c r="P275" s="148"/>
      <c r="Q275" s="430">
        <v>0.13750000000000001</v>
      </c>
      <c r="R275" s="431">
        <v>7.1199999935925001E-3</v>
      </c>
      <c r="S275" s="432">
        <v>2.1800000000000001E-3</v>
      </c>
      <c r="T275" s="433">
        <v>4.6899999976158145E-2</v>
      </c>
      <c r="U275" s="435"/>
    </row>
    <row r="276" spans="2:21" x14ac:dyDescent="0.25">
      <c r="B276" s="424" t="s">
        <v>390</v>
      </c>
      <c r="C276" s="425" t="s">
        <v>391</v>
      </c>
      <c r="D276" s="424" t="s">
        <v>439</v>
      </c>
      <c r="E276" s="424" t="s">
        <v>401</v>
      </c>
      <c r="F276" s="424" t="s">
        <v>445</v>
      </c>
      <c r="G276" s="424">
        <v>4</v>
      </c>
      <c r="H276" s="425" t="s">
        <v>446</v>
      </c>
      <c r="I276" s="427">
        <v>16345</v>
      </c>
      <c r="J276" s="427">
        <v>81</v>
      </c>
      <c r="K276" s="427">
        <v>16426</v>
      </c>
      <c r="L276" s="428">
        <v>94470</v>
      </c>
      <c r="M276" s="429" t="s">
        <v>443</v>
      </c>
      <c r="N276" s="430">
        <v>0.2089</v>
      </c>
      <c r="O276" s="148"/>
      <c r="P276" s="148"/>
      <c r="Q276" s="430">
        <v>0.13750000000000001</v>
      </c>
      <c r="R276" s="431">
        <v>7.1199999935925001E-3</v>
      </c>
      <c r="S276" s="432">
        <v>2.1800000000000001E-3</v>
      </c>
      <c r="T276" s="433">
        <v>8.4899999797344208E-2</v>
      </c>
      <c r="U276" s="435"/>
    </row>
    <row r="277" spans="2:21" x14ac:dyDescent="0.25">
      <c r="B277" s="424" t="s">
        <v>390</v>
      </c>
      <c r="C277" s="425" t="s">
        <v>391</v>
      </c>
      <c r="D277" s="424" t="s">
        <v>439</v>
      </c>
      <c r="E277" s="424" t="s">
        <v>401</v>
      </c>
      <c r="F277" s="424" t="s">
        <v>420</v>
      </c>
      <c r="G277" s="424">
        <v>11</v>
      </c>
      <c r="H277" s="425" t="s">
        <v>447</v>
      </c>
      <c r="I277" s="427">
        <v>17950</v>
      </c>
      <c r="J277" s="427">
        <v>89</v>
      </c>
      <c r="K277" s="427">
        <v>18039</v>
      </c>
      <c r="L277" s="428">
        <v>94380</v>
      </c>
      <c r="M277" s="429" t="s">
        <v>443</v>
      </c>
      <c r="N277" s="430">
        <v>0.28349999999999997</v>
      </c>
      <c r="O277" s="148"/>
      <c r="P277" s="148"/>
      <c r="Q277" s="430">
        <v>0.13750000000000001</v>
      </c>
      <c r="R277" s="431">
        <v>7.1199999935925001E-3</v>
      </c>
      <c r="S277" s="432">
        <v>2.1800000000000001E-3</v>
      </c>
      <c r="T277" s="433">
        <v>6.2099999934434894E-2</v>
      </c>
      <c r="U277" s="435"/>
    </row>
    <row r="278" spans="2:21" x14ac:dyDescent="0.25">
      <c r="B278" s="424" t="s">
        <v>390</v>
      </c>
      <c r="C278" s="425" t="s">
        <v>391</v>
      </c>
      <c r="D278" s="424" t="s">
        <v>439</v>
      </c>
      <c r="E278" s="424" t="s">
        <v>397</v>
      </c>
      <c r="F278" s="424" t="s">
        <v>448</v>
      </c>
      <c r="G278" s="424">
        <v>15</v>
      </c>
      <c r="H278" s="425" t="s">
        <v>126</v>
      </c>
      <c r="I278" s="427">
        <v>16624</v>
      </c>
      <c r="J278" s="427">
        <v>181</v>
      </c>
      <c r="K278" s="427">
        <v>16805</v>
      </c>
      <c r="L278" s="428">
        <v>94360</v>
      </c>
      <c r="M278" s="429" t="s">
        <v>449</v>
      </c>
      <c r="N278" s="430">
        <v>0.2175</v>
      </c>
      <c r="O278" s="148"/>
      <c r="P278" s="148"/>
      <c r="Q278" s="430">
        <v>0.13750000000000001</v>
      </c>
      <c r="R278" s="431">
        <v>7.1199999935925001E-3</v>
      </c>
      <c r="S278" s="432">
        <v>2.1800000000000001E-3</v>
      </c>
      <c r="T278" s="433">
        <v>8.3199999928474433E-2</v>
      </c>
      <c r="U278" s="435"/>
    </row>
    <row r="279" spans="2:21" x14ac:dyDescent="0.25">
      <c r="B279" s="424" t="s">
        <v>390</v>
      </c>
      <c r="C279" s="425" t="s">
        <v>391</v>
      </c>
      <c r="D279" s="424" t="s">
        <v>439</v>
      </c>
      <c r="E279" s="424" t="s">
        <v>393</v>
      </c>
      <c r="F279" s="424" t="s">
        <v>398</v>
      </c>
      <c r="G279" s="424">
        <v>16</v>
      </c>
      <c r="H279" s="425" t="s">
        <v>450</v>
      </c>
      <c r="I279" s="427">
        <v>31069</v>
      </c>
      <c r="J279" s="427">
        <v>473</v>
      </c>
      <c r="K279" s="427">
        <v>31542</v>
      </c>
      <c r="L279" s="428">
        <v>94230</v>
      </c>
      <c r="M279" s="429" t="s">
        <v>441</v>
      </c>
      <c r="N279" s="430">
        <v>0.2069</v>
      </c>
      <c r="O279" s="148"/>
      <c r="P279" s="148"/>
      <c r="Q279" s="430">
        <v>0.13750000000000001</v>
      </c>
      <c r="R279" s="431">
        <v>7.1199999935925001E-3</v>
      </c>
      <c r="S279" s="432">
        <v>2.1800000000000001E-3</v>
      </c>
      <c r="T279" s="433">
        <v>7.8699999898672102E-2</v>
      </c>
      <c r="U279" s="435"/>
    </row>
    <row r="280" spans="2:21" x14ac:dyDescent="0.25">
      <c r="B280" s="424" t="s">
        <v>390</v>
      </c>
      <c r="C280" s="425" t="s">
        <v>391</v>
      </c>
      <c r="D280" s="424" t="s">
        <v>439</v>
      </c>
      <c r="E280" s="424" t="s">
        <v>397</v>
      </c>
      <c r="F280" s="424" t="s">
        <v>392</v>
      </c>
      <c r="G280" s="424">
        <v>17</v>
      </c>
      <c r="H280" s="425" t="s">
        <v>128</v>
      </c>
      <c r="I280" s="427">
        <v>77630</v>
      </c>
      <c r="J280" s="427">
        <v>362</v>
      </c>
      <c r="K280" s="427">
        <v>77992</v>
      </c>
      <c r="L280" s="428">
        <v>94500</v>
      </c>
      <c r="M280" s="429" t="s">
        <v>449</v>
      </c>
      <c r="N280" s="430">
        <v>0.22159999999999999</v>
      </c>
      <c r="O280" s="148"/>
      <c r="P280" s="148"/>
      <c r="Q280" s="430">
        <v>0.13750000000000001</v>
      </c>
      <c r="R280" s="431">
        <v>7.1199999935925001E-3</v>
      </c>
      <c r="S280" s="432">
        <v>2.1800000000000001E-3</v>
      </c>
      <c r="T280" s="433">
        <v>0.11099999994039536</v>
      </c>
      <c r="U280" s="435"/>
    </row>
    <row r="281" spans="2:21" x14ac:dyDescent="0.25">
      <c r="B281" s="424" t="s">
        <v>390</v>
      </c>
      <c r="C281" s="425" t="s">
        <v>391</v>
      </c>
      <c r="D281" s="424" t="s">
        <v>439</v>
      </c>
      <c r="E281" s="424" t="s">
        <v>397</v>
      </c>
      <c r="F281" s="424" t="s">
        <v>424</v>
      </c>
      <c r="G281" s="424">
        <v>18</v>
      </c>
      <c r="H281" s="425" t="s">
        <v>132</v>
      </c>
      <c r="I281" s="427">
        <v>30374</v>
      </c>
      <c r="J281" s="427">
        <v>194</v>
      </c>
      <c r="K281" s="427">
        <v>30568</v>
      </c>
      <c r="L281" s="428">
        <v>94220</v>
      </c>
      <c r="M281" s="429" t="s">
        <v>449</v>
      </c>
      <c r="N281" s="430">
        <v>0.15440000000000001</v>
      </c>
      <c r="O281" s="148"/>
      <c r="P281" s="148"/>
      <c r="Q281" s="430">
        <v>0.13750000000000001</v>
      </c>
      <c r="R281" s="431">
        <v>7.1199999935925001E-3</v>
      </c>
      <c r="S281" s="432">
        <v>2.1800000000000001E-3</v>
      </c>
      <c r="T281" s="433">
        <v>4.7099999934434894E-2</v>
      </c>
      <c r="U281" s="435"/>
    </row>
    <row r="282" spans="2:21" ht="25.5" x14ac:dyDescent="0.25">
      <c r="B282" s="424" t="s">
        <v>390</v>
      </c>
      <c r="C282" s="425" t="s">
        <v>391</v>
      </c>
      <c r="D282" s="424" t="s">
        <v>439</v>
      </c>
      <c r="E282" s="424" t="s">
        <v>401</v>
      </c>
      <c r="F282" s="424" t="s">
        <v>404</v>
      </c>
      <c r="G282" s="424">
        <v>19</v>
      </c>
      <c r="H282" s="425" t="s">
        <v>451</v>
      </c>
      <c r="I282" s="427">
        <v>18321</v>
      </c>
      <c r="J282" s="427">
        <v>123</v>
      </c>
      <c r="K282" s="427">
        <v>18444</v>
      </c>
      <c r="L282" s="428">
        <v>94430</v>
      </c>
      <c r="M282" s="429" t="s">
        <v>443</v>
      </c>
      <c r="N282" s="430">
        <v>0.19950000000000001</v>
      </c>
      <c r="O282" s="148"/>
      <c r="P282" s="148"/>
      <c r="Q282" s="430">
        <v>0.13750000000000001</v>
      </c>
      <c r="R282" s="431">
        <v>7.1199999935925001E-3</v>
      </c>
      <c r="S282" s="432">
        <v>2.1800000000000001E-3</v>
      </c>
      <c r="T282" s="433">
        <v>8.4899999797344208E-2</v>
      </c>
      <c r="U282" s="435"/>
    </row>
    <row r="283" spans="2:21" x14ac:dyDescent="0.25">
      <c r="B283" s="424" t="s">
        <v>390</v>
      </c>
      <c r="C283" s="425" t="s">
        <v>391</v>
      </c>
      <c r="D283" s="424" t="s">
        <v>439</v>
      </c>
      <c r="E283" s="424" t="s">
        <v>393</v>
      </c>
      <c r="F283" s="424" t="s">
        <v>432</v>
      </c>
      <c r="G283" s="424">
        <v>21</v>
      </c>
      <c r="H283" s="425" t="s">
        <v>452</v>
      </c>
      <c r="I283" s="427">
        <v>19491</v>
      </c>
      <c r="J283" s="427">
        <v>87</v>
      </c>
      <c r="K283" s="427">
        <v>19578</v>
      </c>
      <c r="L283" s="428">
        <v>94550</v>
      </c>
      <c r="M283" s="429" t="s">
        <v>441</v>
      </c>
      <c r="N283" s="430">
        <v>0.1525</v>
      </c>
      <c r="O283" s="148"/>
      <c r="P283" s="148"/>
      <c r="Q283" s="430">
        <v>0.13750000000000001</v>
      </c>
      <c r="R283" s="431">
        <v>7.1199999935925001E-3</v>
      </c>
      <c r="S283" s="432">
        <v>2.1800000000000001E-3</v>
      </c>
      <c r="T283" s="433">
        <v>5.8799999952316287E-2</v>
      </c>
      <c r="U283" s="435"/>
    </row>
    <row r="284" spans="2:21" x14ac:dyDescent="0.25">
      <c r="B284" s="424" t="s">
        <v>390</v>
      </c>
      <c r="C284" s="425" t="s">
        <v>391</v>
      </c>
      <c r="D284" s="424" t="s">
        <v>439</v>
      </c>
      <c r="E284" s="424" t="s">
        <v>393</v>
      </c>
      <c r="F284" s="424" t="s">
        <v>407</v>
      </c>
      <c r="G284" s="424">
        <v>22</v>
      </c>
      <c r="H284" s="425" t="s">
        <v>453</v>
      </c>
      <c r="I284" s="427">
        <v>45331</v>
      </c>
      <c r="J284" s="427">
        <v>221</v>
      </c>
      <c r="K284" s="427">
        <v>45552</v>
      </c>
      <c r="L284" s="428">
        <v>94600</v>
      </c>
      <c r="M284" s="429" t="s">
        <v>441</v>
      </c>
      <c r="N284" s="430">
        <v>0.26090000000000002</v>
      </c>
      <c r="O284" s="148"/>
      <c r="P284" s="148"/>
      <c r="Q284" s="430">
        <v>0.13750000000000001</v>
      </c>
      <c r="R284" s="431">
        <v>7.1199999935925001E-3</v>
      </c>
      <c r="S284" s="432">
        <v>2.1800000000000001E-3</v>
      </c>
      <c r="T284" s="433">
        <v>7.1399999856948851E-2</v>
      </c>
      <c r="U284" s="435"/>
    </row>
    <row r="285" spans="2:21" x14ac:dyDescent="0.25">
      <c r="B285" s="424" t="s">
        <v>390</v>
      </c>
      <c r="C285" s="425" t="s">
        <v>391</v>
      </c>
      <c r="D285" s="424" t="s">
        <v>439</v>
      </c>
      <c r="E285" s="424" t="s">
        <v>401</v>
      </c>
      <c r="F285" s="424" t="s">
        <v>439</v>
      </c>
      <c r="G285" s="424">
        <v>28</v>
      </c>
      <c r="H285" s="425" t="s">
        <v>454</v>
      </c>
      <c r="I285" s="427">
        <v>90605</v>
      </c>
      <c r="J285" s="427">
        <v>515</v>
      </c>
      <c r="K285" s="427">
        <v>91120</v>
      </c>
      <c r="L285" s="428">
        <v>94000</v>
      </c>
      <c r="M285" s="429" t="s">
        <v>443</v>
      </c>
      <c r="N285" s="430">
        <v>0.27539999999999998</v>
      </c>
      <c r="O285" s="148"/>
      <c r="P285" s="148"/>
      <c r="Q285" s="430">
        <v>0.13750000000000001</v>
      </c>
      <c r="R285" s="431">
        <v>7.1199999935925001E-3</v>
      </c>
      <c r="S285" s="432">
        <v>2.1800000000000001E-3</v>
      </c>
      <c r="T285" s="433">
        <v>8.3899999856948848E-2</v>
      </c>
      <c r="U285" s="435"/>
    </row>
    <row r="286" spans="2:21" x14ac:dyDescent="0.25">
      <c r="B286" s="424" t="s">
        <v>390</v>
      </c>
      <c r="C286" s="425" t="s">
        <v>391</v>
      </c>
      <c r="D286" s="424" t="s">
        <v>439</v>
      </c>
      <c r="E286" s="424" t="s">
        <v>397</v>
      </c>
      <c r="F286" s="424" t="s">
        <v>426</v>
      </c>
      <c r="G286" s="424">
        <v>33</v>
      </c>
      <c r="H286" s="425" t="s">
        <v>141</v>
      </c>
      <c r="I286" s="427">
        <v>52939</v>
      </c>
      <c r="J286" s="427">
        <v>479</v>
      </c>
      <c r="K286" s="427">
        <v>53418</v>
      </c>
      <c r="L286" s="428">
        <v>94120</v>
      </c>
      <c r="M286" s="429" t="s">
        <v>449</v>
      </c>
      <c r="N286" s="430">
        <v>0.19639999999999999</v>
      </c>
      <c r="O286" s="148"/>
      <c r="P286" s="148"/>
      <c r="Q286" s="430">
        <v>0.13750000000000001</v>
      </c>
      <c r="R286" s="431">
        <v>7.1199999935925001E-3</v>
      </c>
      <c r="S286" s="432">
        <v>2.1800000000000001E-3</v>
      </c>
      <c r="T286" s="433">
        <v>7.4199999868869784E-2</v>
      </c>
      <c r="U286" s="435"/>
    </row>
    <row r="287" spans="2:21" x14ac:dyDescent="0.25">
      <c r="B287" s="424" t="s">
        <v>390</v>
      </c>
      <c r="C287" s="425" t="s">
        <v>391</v>
      </c>
      <c r="D287" s="424" t="s">
        <v>439</v>
      </c>
      <c r="E287" s="424" t="s">
        <v>393</v>
      </c>
      <c r="F287" s="424" t="s">
        <v>418</v>
      </c>
      <c r="G287" s="424">
        <v>34</v>
      </c>
      <c r="H287" s="425" t="s">
        <v>455</v>
      </c>
      <c r="I287" s="427">
        <v>27802</v>
      </c>
      <c r="J287" s="427">
        <v>103</v>
      </c>
      <c r="K287" s="427">
        <v>27905</v>
      </c>
      <c r="L287" s="428">
        <v>94260</v>
      </c>
      <c r="M287" s="429" t="s">
        <v>441</v>
      </c>
      <c r="N287" s="430">
        <v>0.2321</v>
      </c>
      <c r="O287" s="148"/>
      <c r="P287" s="148"/>
      <c r="Q287" s="430">
        <v>0.13750000000000001</v>
      </c>
      <c r="R287" s="431">
        <v>7.1199999935925001E-3</v>
      </c>
      <c r="S287" s="432">
        <v>2.1800000000000001E-3</v>
      </c>
      <c r="T287" s="433">
        <v>5.979999989271164E-2</v>
      </c>
      <c r="U287" s="435"/>
    </row>
    <row r="288" spans="2:21" x14ac:dyDescent="0.25">
      <c r="B288" s="424" t="s">
        <v>390</v>
      </c>
      <c r="C288" s="425" t="s">
        <v>391</v>
      </c>
      <c r="D288" s="424" t="s">
        <v>439</v>
      </c>
      <c r="E288" s="424" t="s">
        <v>393</v>
      </c>
      <c r="F288" s="424" t="s">
        <v>428</v>
      </c>
      <c r="G288" s="424">
        <v>37</v>
      </c>
      <c r="H288" s="425" t="s">
        <v>456</v>
      </c>
      <c r="I288" s="427">
        <v>18605</v>
      </c>
      <c r="J288" s="427">
        <v>102</v>
      </c>
      <c r="K288" s="427">
        <v>18707</v>
      </c>
      <c r="L288" s="428">
        <v>94250</v>
      </c>
      <c r="M288" s="429" t="s">
        <v>441</v>
      </c>
      <c r="N288" s="430">
        <v>0.32240000000000002</v>
      </c>
      <c r="O288" s="148"/>
      <c r="P288" s="148"/>
      <c r="Q288" s="430">
        <v>0.13750000000000001</v>
      </c>
      <c r="R288" s="431">
        <v>7.1199999935925001E-3</v>
      </c>
      <c r="S288" s="432">
        <v>2.1800000000000001E-3</v>
      </c>
      <c r="T288" s="433">
        <v>4.4799999892711641E-2</v>
      </c>
      <c r="U288" s="435"/>
    </row>
    <row r="289" spans="2:21" x14ac:dyDescent="0.25">
      <c r="B289" s="424" t="s">
        <v>390</v>
      </c>
      <c r="C289" s="425" t="s">
        <v>391</v>
      </c>
      <c r="D289" s="424" t="s">
        <v>439</v>
      </c>
      <c r="E289" s="424" t="s">
        <v>393</v>
      </c>
      <c r="F289" s="424" t="s">
        <v>418</v>
      </c>
      <c r="G289" s="424">
        <v>38</v>
      </c>
      <c r="H289" s="425" t="s">
        <v>457</v>
      </c>
      <c r="I289" s="427">
        <v>31204</v>
      </c>
      <c r="J289" s="427">
        <v>160</v>
      </c>
      <c r="K289" s="427">
        <v>31364</v>
      </c>
      <c r="L289" s="428">
        <v>94200</v>
      </c>
      <c r="M289" s="429" t="s">
        <v>441</v>
      </c>
      <c r="N289" s="430">
        <v>0.22520000000000001</v>
      </c>
      <c r="O289" s="148"/>
      <c r="P289" s="148"/>
      <c r="Q289" s="430">
        <v>0.13750000000000001</v>
      </c>
      <c r="R289" s="431">
        <v>7.1199999935925001E-3</v>
      </c>
      <c r="S289" s="432">
        <v>2.1800000000000001E-3</v>
      </c>
      <c r="T289" s="433">
        <v>5.4499999880790712E-2</v>
      </c>
      <c r="U289" s="435"/>
    </row>
    <row r="290" spans="2:21" x14ac:dyDescent="0.25">
      <c r="B290" s="424" t="s">
        <v>390</v>
      </c>
      <c r="C290" s="425" t="s">
        <v>391</v>
      </c>
      <c r="D290" s="424" t="s">
        <v>439</v>
      </c>
      <c r="E290" s="424" t="s">
        <v>393</v>
      </c>
      <c r="F290" s="424" t="s">
        <v>390</v>
      </c>
      <c r="G290" s="424">
        <v>41</v>
      </c>
      <c r="H290" s="425" t="s">
        <v>458</v>
      </c>
      <c r="I290" s="427">
        <v>62052</v>
      </c>
      <c r="J290" s="427">
        <v>242</v>
      </c>
      <c r="K290" s="427">
        <v>62294</v>
      </c>
      <c r="L290" s="428">
        <v>94340</v>
      </c>
      <c r="M290" s="429" t="s">
        <v>441</v>
      </c>
      <c r="N290" s="430">
        <v>0.3407</v>
      </c>
      <c r="O290" s="148"/>
      <c r="P290" s="148"/>
      <c r="Q290" s="430">
        <v>0.13750000000000001</v>
      </c>
      <c r="R290" s="431">
        <v>7.1199999935925001E-3</v>
      </c>
      <c r="S290" s="432">
        <v>2.1800000000000001E-3</v>
      </c>
      <c r="T290" s="433">
        <v>0</v>
      </c>
      <c r="U290" s="435"/>
    </row>
    <row r="291" spans="2:21" x14ac:dyDescent="0.25">
      <c r="B291" s="424" t="s">
        <v>390</v>
      </c>
      <c r="C291" s="425" t="s">
        <v>391</v>
      </c>
      <c r="D291" s="424" t="s">
        <v>439</v>
      </c>
      <c r="E291" s="424" t="s">
        <v>397</v>
      </c>
      <c r="F291" s="424" t="s">
        <v>424</v>
      </c>
      <c r="G291" s="424">
        <v>42</v>
      </c>
      <c r="H291" s="425" t="s">
        <v>150</v>
      </c>
      <c r="I291" s="427">
        <v>19133</v>
      </c>
      <c r="J291" s="427">
        <v>149</v>
      </c>
      <c r="K291" s="427">
        <v>19282</v>
      </c>
      <c r="L291" s="428">
        <v>94240</v>
      </c>
      <c r="M291" s="429" t="s">
        <v>449</v>
      </c>
      <c r="N291" s="430">
        <v>0.26919999999999999</v>
      </c>
      <c r="O291" s="148"/>
      <c r="P291" s="148"/>
      <c r="Q291" s="430">
        <v>0.13750000000000001</v>
      </c>
      <c r="R291" s="431">
        <v>7.1199999935925001E-3</v>
      </c>
      <c r="S291" s="432">
        <v>2.1800000000000001E-3</v>
      </c>
      <c r="T291" s="433">
        <v>8.5499999821186071E-2</v>
      </c>
      <c r="U291" s="435"/>
    </row>
    <row r="292" spans="2:21" x14ac:dyDescent="0.25">
      <c r="B292" s="424" t="s">
        <v>390</v>
      </c>
      <c r="C292" s="425" t="s">
        <v>391</v>
      </c>
      <c r="D292" s="424" t="s">
        <v>439</v>
      </c>
      <c r="E292" s="424" t="s">
        <v>393</v>
      </c>
      <c r="F292" s="424" t="s">
        <v>428</v>
      </c>
      <c r="G292" s="424">
        <v>43</v>
      </c>
      <c r="H292" s="425" t="s">
        <v>459</v>
      </c>
      <c r="I292" s="427">
        <v>25334</v>
      </c>
      <c r="J292" s="427">
        <v>134</v>
      </c>
      <c r="K292" s="427">
        <v>25468</v>
      </c>
      <c r="L292" s="428">
        <v>94510</v>
      </c>
      <c r="M292" s="429" t="s">
        <v>441</v>
      </c>
      <c r="N292" s="430">
        <v>0.23200000000000001</v>
      </c>
      <c r="O292" s="148"/>
      <c r="P292" s="148"/>
      <c r="Q292" s="430">
        <v>0.13750000000000001</v>
      </c>
      <c r="R292" s="431">
        <v>7.1199999935925001E-3</v>
      </c>
      <c r="S292" s="432">
        <v>2.1800000000000001E-3</v>
      </c>
      <c r="T292" s="433">
        <v>4.7399999946355818E-2</v>
      </c>
      <c r="U292" s="435"/>
    </row>
    <row r="293" spans="2:21" x14ac:dyDescent="0.25">
      <c r="B293" s="424" t="s">
        <v>390</v>
      </c>
      <c r="C293" s="425" t="s">
        <v>391</v>
      </c>
      <c r="D293" s="424" t="s">
        <v>439</v>
      </c>
      <c r="E293" s="424" t="s">
        <v>401</v>
      </c>
      <c r="F293" s="424" t="s">
        <v>423</v>
      </c>
      <c r="G293" s="424">
        <v>44</v>
      </c>
      <c r="H293" s="425" t="s">
        <v>460</v>
      </c>
      <c r="I293" s="427">
        <v>27228</v>
      </c>
      <c r="J293" s="427">
        <v>108</v>
      </c>
      <c r="K293" s="427">
        <v>27336</v>
      </c>
      <c r="L293" s="428">
        <v>94270</v>
      </c>
      <c r="M293" s="429" t="s">
        <v>443</v>
      </c>
      <c r="N293" s="430">
        <v>0.22889999999999999</v>
      </c>
      <c r="O293" s="148"/>
      <c r="P293" s="148"/>
      <c r="Q293" s="430">
        <v>0.13750000000000001</v>
      </c>
      <c r="R293" s="431">
        <v>7.1199999935925001E-3</v>
      </c>
      <c r="S293" s="432">
        <v>2.1800000000000001E-3</v>
      </c>
      <c r="T293" s="433">
        <v>9.3199999928474428E-2</v>
      </c>
      <c r="U293" s="435"/>
    </row>
    <row r="294" spans="2:21" x14ac:dyDescent="0.25">
      <c r="B294" s="424" t="s">
        <v>390</v>
      </c>
      <c r="C294" s="425" t="s">
        <v>391</v>
      </c>
      <c r="D294" s="424" t="s">
        <v>439</v>
      </c>
      <c r="E294" s="424" t="s">
        <v>397</v>
      </c>
      <c r="F294" s="424" t="s">
        <v>461</v>
      </c>
      <c r="G294" s="424">
        <v>46</v>
      </c>
      <c r="H294" s="425" t="s">
        <v>166</v>
      </c>
      <c r="I294" s="427">
        <v>55655</v>
      </c>
      <c r="J294" s="427">
        <v>333</v>
      </c>
      <c r="K294" s="427">
        <v>55988</v>
      </c>
      <c r="L294" s="428">
        <v>94170</v>
      </c>
      <c r="M294" s="429" t="s">
        <v>449</v>
      </c>
      <c r="N294" s="430">
        <v>0.13769999999999999</v>
      </c>
      <c r="O294" s="148"/>
      <c r="P294" s="148"/>
      <c r="Q294" s="430">
        <v>0.13750000000000001</v>
      </c>
      <c r="R294" s="431">
        <v>7.1199999935925001E-3</v>
      </c>
      <c r="S294" s="432">
        <v>2.1800000000000001E-3</v>
      </c>
      <c r="T294" s="433">
        <v>5.929999992251396E-2</v>
      </c>
      <c r="U294" s="435"/>
    </row>
    <row r="295" spans="2:21" x14ac:dyDescent="0.25">
      <c r="B295" s="424" t="s">
        <v>390</v>
      </c>
      <c r="C295" s="425" t="s">
        <v>391</v>
      </c>
      <c r="D295" s="424" t="s">
        <v>439</v>
      </c>
      <c r="E295" s="424" t="s">
        <v>401</v>
      </c>
      <c r="F295" s="424" t="s">
        <v>445</v>
      </c>
      <c r="G295" s="424">
        <v>47</v>
      </c>
      <c r="H295" s="425" t="s">
        <v>462</v>
      </c>
      <c r="I295" s="427">
        <v>4755</v>
      </c>
      <c r="J295" s="427">
        <v>39</v>
      </c>
      <c r="K295" s="427">
        <v>4794</v>
      </c>
      <c r="L295" s="428">
        <v>94420</v>
      </c>
      <c r="M295" s="429" t="s">
        <v>443</v>
      </c>
      <c r="N295" s="430">
        <v>0.20630000000000001</v>
      </c>
      <c r="O295" s="148"/>
      <c r="P295" s="148"/>
      <c r="Q295" s="430">
        <v>0.13750000000000001</v>
      </c>
      <c r="R295" s="431">
        <v>7.1199999935925001E-3</v>
      </c>
      <c r="S295" s="432">
        <v>2.1800000000000001E-3</v>
      </c>
      <c r="T295" s="433">
        <v>8.6699999868869781E-2</v>
      </c>
      <c r="U295" s="435"/>
    </row>
    <row r="296" spans="2:21" x14ac:dyDescent="0.25">
      <c r="B296" s="424" t="s">
        <v>390</v>
      </c>
      <c r="C296" s="425" t="s">
        <v>391</v>
      </c>
      <c r="D296" s="424" t="s">
        <v>439</v>
      </c>
      <c r="E296" s="424" t="s">
        <v>401</v>
      </c>
      <c r="F296" s="424" t="s">
        <v>445</v>
      </c>
      <c r="G296" s="424">
        <v>48</v>
      </c>
      <c r="H296" s="425" t="s">
        <v>463</v>
      </c>
      <c r="I296" s="427">
        <v>4847</v>
      </c>
      <c r="J296" s="427">
        <v>101</v>
      </c>
      <c r="K296" s="427">
        <v>4948</v>
      </c>
      <c r="L296" s="428">
        <v>94450</v>
      </c>
      <c r="M296" s="429" t="s">
        <v>443</v>
      </c>
      <c r="N296" s="430">
        <v>0.22589999999999999</v>
      </c>
      <c r="O296" s="148"/>
      <c r="P296" s="148"/>
      <c r="Q296" s="430">
        <v>0.13750000000000001</v>
      </c>
      <c r="R296" s="431">
        <v>7.1199999935925001E-3</v>
      </c>
      <c r="S296" s="432">
        <v>2.1800000000000001E-3</v>
      </c>
      <c r="T296" s="433">
        <v>8.349999994039535E-2</v>
      </c>
      <c r="U296" s="435"/>
    </row>
    <row r="297" spans="2:21" x14ac:dyDescent="0.25">
      <c r="B297" s="424" t="s">
        <v>390</v>
      </c>
      <c r="C297" s="425" t="s">
        <v>391</v>
      </c>
      <c r="D297" s="424" t="s">
        <v>439</v>
      </c>
      <c r="E297" s="424" t="s">
        <v>397</v>
      </c>
      <c r="F297" s="424" t="s">
        <v>406</v>
      </c>
      <c r="G297" s="424">
        <v>52</v>
      </c>
      <c r="H297" s="425" t="s">
        <v>174</v>
      </c>
      <c r="I297" s="427">
        <v>32851</v>
      </c>
      <c r="J297" s="427">
        <v>227</v>
      </c>
      <c r="K297" s="427">
        <v>33078</v>
      </c>
      <c r="L297" s="428">
        <v>94700</v>
      </c>
      <c r="M297" s="429" t="s">
        <v>449</v>
      </c>
      <c r="N297" s="430">
        <v>0.19719999999999999</v>
      </c>
      <c r="O297" s="148"/>
      <c r="P297" s="148"/>
      <c r="Q297" s="430">
        <v>0.13750000000000001</v>
      </c>
      <c r="R297" s="431">
        <v>7.1199999935925001E-3</v>
      </c>
      <c r="S297" s="432">
        <v>2.1800000000000001E-3</v>
      </c>
      <c r="T297" s="433">
        <v>6.2999999970197673E-2</v>
      </c>
      <c r="U297" s="435"/>
    </row>
    <row r="298" spans="2:21" x14ac:dyDescent="0.25">
      <c r="B298" s="424" t="s">
        <v>390</v>
      </c>
      <c r="C298" s="425" t="s">
        <v>391</v>
      </c>
      <c r="D298" s="424" t="s">
        <v>439</v>
      </c>
      <c r="E298" s="424" t="s">
        <v>401</v>
      </c>
      <c r="F298" s="424" t="s">
        <v>445</v>
      </c>
      <c r="G298" s="424">
        <v>53</v>
      </c>
      <c r="H298" s="425" t="s">
        <v>464</v>
      </c>
      <c r="I298" s="427">
        <v>4651</v>
      </c>
      <c r="J298" s="427">
        <v>43</v>
      </c>
      <c r="K298" s="427">
        <v>4694</v>
      </c>
      <c r="L298" s="428">
        <v>94520</v>
      </c>
      <c r="M298" s="429" t="s">
        <v>443</v>
      </c>
      <c r="N298" s="430">
        <v>0.20399999999999999</v>
      </c>
      <c r="O298" s="148"/>
      <c r="P298" s="148"/>
      <c r="Q298" s="430">
        <v>0.13750000000000001</v>
      </c>
      <c r="R298" s="431">
        <v>7.1199999935925001E-3</v>
      </c>
      <c r="S298" s="432">
        <v>2.1800000000000001E-3</v>
      </c>
      <c r="T298" s="433">
        <v>8.4899999797344208E-2</v>
      </c>
      <c r="U298" s="435"/>
    </row>
    <row r="299" spans="2:21" x14ac:dyDescent="0.25">
      <c r="B299" s="424" t="s">
        <v>390</v>
      </c>
      <c r="C299" s="425" t="s">
        <v>391</v>
      </c>
      <c r="D299" s="424" t="s">
        <v>439</v>
      </c>
      <c r="E299" s="424" t="s">
        <v>393</v>
      </c>
      <c r="F299" s="424" t="s">
        <v>425</v>
      </c>
      <c r="G299" s="424">
        <v>54</v>
      </c>
      <c r="H299" s="425" t="s">
        <v>465</v>
      </c>
      <c r="I299" s="427">
        <v>23801</v>
      </c>
      <c r="J299" s="427">
        <v>201</v>
      </c>
      <c r="K299" s="427">
        <v>24002</v>
      </c>
      <c r="L299" s="428">
        <v>94440</v>
      </c>
      <c r="M299" s="429" t="s">
        <v>441</v>
      </c>
      <c r="N299" s="430">
        <v>0.18640000000000001</v>
      </c>
      <c r="O299" s="148"/>
      <c r="P299" s="148"/>
      <c r="Q299" s="430">
        <v>0.13750000000000001</v>
      </c>
      <c r="R299" s="431">
        <v>7.1199999935925001E-3</v>
      </c>
      <c r="S299" s="432">
        <v>2.1800000000000001E-3</v>
      </c>
      <c r="T299" s="433">
        <v>6.3699999898672102E-2</v>
      </c>
      <c r="U299" s="435"/>
    </row>
    <row r="300" spans="2:21" x14ac:dyDescent="0.25">
      <c r="B300" s="424" t="s">
        <v>390</v>
      </c>
      <c r="C300" s="425" t="s">
        <v>391</v>
      </c>
      <c r="D300" s="424" t="s">
        <v>439</v>
      </c>
      <c r="E300" s="424" t="s">
        <v>401</v>
      </c>
      <c r="F300" s="424" t="s">
        <v>420</v>
      </c>
      <c r="G300" s="424">
        <v>55</v>
      </c>
      <c r="H300" s="425" t="s">
        <v>466</v>
      </c>
      <c r="I300" s="427">
        <v>10305</v>
      </c>
      <c r="J300" s="427">
        <v>101</v>
      </c>
      <c r="K300" s="427">
        <v>10406</v>
      </c>
      <c r="L300" s="428">
        <v>94130</v>
      </c>
      <c r="M300" s="429" t="s">
        <v>443</v>
      </c>
      <c r="N300" s="430">
        <v>0.19839999999999999</v>
      </c>
      <c r="O300" s="148"/>
      <c r="P300" s="148"/>
      <c r="Q300" s="430">
        <v>0.13750000000000001</v>
      </c>
      <c r="R300" s="431">
        <v>7.1199999935925001E-3</v>
      </c>
      <c r="S300" s="432">
        <v>2.1800000000000001E-3</v>
      </c>
      <c r="T300" s="433">
        <v>8.4899999797344208E-2</v>
      </c>
      <c r="U300" s="435"/>
    </row>
    <row r="301" spans="2:21" x14ac:dyDescent="0.25">
      <c r="B301" s="424" t="s">
        <v>390</v>
      </c>
      <c r="C301" s="425" t="s">
        <v>391</v>
      </c>
      <c r="D301" s="424" t="s">
        <v>439</v>
      </c>
      <c r="E301" s="424" t="s">
        <v>401</v>
      </c>
      <c r="F301" s="424" t="s">
        <v>445</v>
      </c>
      <c r="G301" s="424">
        <v>56</v>
      </c>
      <c r="H301" s="425" t="s">
        <v>467</v>
      </c>
      <c r="I301" s="427">
        <v>2668</v>
      </c>
      <c r="J301" s="427">
        <v>24</v>
      </c>
      <c r="K301" s="427">
        <v>2692</v>
      </c>
      <c r="L301" s="428">
        <v>94880</v>
      </c>
      <c r="M301" s="429" t="s">
        <v>443</v>
      </c>
      <c r="N301" s="430">
        <v>0.17499999999999999</v>
      </c>
      <c r="O301" s="148"/>
      <c r="P301" s="148"/>
      <c r="Q301" s="430">
        <v>0.13750000000000001</v>
      </c>
      <c r="R301" s="431">
        <v>7.1199999935925001E-3</v>
      </c>
      <c r="S301" s="432">
        <v>2.1800000000000001E-3</v>
      </c>
      <c r="T301" s="433">
        <v>8.3799999952316281E-2</v>
      </c>
      <c r="U301" s="435"/>
    </row>
    <row r="302" spans="2:21" x14ac:dyDescent="0.25">
      <c r="B302" s="424" t="s">
        <v>390</v>
      </c>
      <c r="C302" s="425" t="s">
        <v>391</v>
      </c>
      <c r="D302" s="424" t="s">
        <v>439</v>
      </c>
      <c r="E302" s="424" t="s">
        <v>397</v>
      </c>
      <c r="F302" s="424" t="s">
        <v>419</v>
      </c>
      <c r="G302" s="424">
        <v>58</v>
      </c>
      <c r="H302" s="425" t="s">
        <v>153</v>
      </c>
      <c r="I302" s="427">
        <v>33879</v>
      </c>
      <c r="J302" s="427">
        <v>282</v>
      </c>
      <c r="K302" s="427">
        <v>34161</v>
      </c>
      <c r="L302" s="428">
        <v>94310</v>
      </c>
      <c r="M302" s="429" t="s">
        <v>449</v>
      </c>
      <c r="N302" s="430">
        <v>0.21329999999999999</v>
      </c>
      <c r="O302" s="148"/>
      <c r="P302" s="148"/>
      <c r="Q302" s="430">
        <v>0.13750000000000001</v>
      </c>
      <c r="R302" s="431">
        <v>7.1199999935925001E-3</v>
      </c>
      <c r="S302" s="432">
        <v>2.1800000000000001E-3</v>
      </c>
      <c r="T302" s="433">
        <v>6.2999999970197673E-2</v>
      </c>
      <c r="U302" s="435"/>
    </row>
    <row r="303" spans="2:21" x14ac:dyDescent="0.25">
      <c r="B303" s="424" t="s">
        <v>390</v>
      </c>
      <c r="C303" s="425" t="s">
        <v>391</v>
      </c>
      <c r="D303" s="424" t="s">
        <v>439</v>
      </c>
      <c r="E303" s="424" t="s">
        <v>401</v>
      </c>
      <c r="F303" s="424" t="s">
        <v>448</v>
      </c>
      <c r="G303" s="424">
        <v>59</v>
      </c>
      <c r="H303" s="425" t="s">
        <v>468</v>
      </c>
      <c r="I303" s="427">
        <v>20130</v>
      </c>
      <c r="J303" s="427">
        <v>85</v>
      </c>
      <c r="K303" s="427">
        <v>20215</v>
      </c>
      <c r="L303" s="428">
        <v>94490</v>
      </c>
      <c r="M303" s="429" t="s">
        <v>443</v>
      </c>
      <c r="N303" s="430">
        <v>0.20219999999999999</v>
      </c>
      <c r="O303" s="148"/>
      <c r="P303" s="148"/>
      <c r="Q303" s="430">
        <v>0.13750000000000001</v>
      </c>
      <c r="R303" s="431">
        <v>7.1199999935925001E-3</v>
      </c>
      <c r="S303" s="432">
        <v>2.1800000000000001E-3</v>
      </c>
      <c r="T303" s="433">
        <v>8.4899999797344208E-2</v>
      </c>
      <c r="U303" s="435"/>
    </row>
    <row r="304" spans="2:21" x14ac:dyDescent="0.25">
      <c r="B304" s="424" t="s">
        <v>390</v>
      </c>
      <c r="C304" s="425" t="s">
        <v>391</v>
      </c>
      <c r="D304" s="424" t="s">
        <v>439</v>
      </c>
      <c r="E304" s="424" t="s">
        <v>401</v>
      </c>
      <c r="F304" s="424" t="s">
        <v>445</v>
      </c>
      <c r="G304" s="424">
        <v>60</v>
      </c>
      <c r="H304" s="425" t="s">
        <v>469</v>
      </c>
      <c r="I304" s="427">
        <v>11931</v>
      </c>
      <c r="J304" s="427">
        <v>130</v>
      </c>
      <c r="K304" s="427">
        <v>12061</v>
      </c>
      <c r="L304" s="428">
        <v>94520</v>
      </c>
      <c r="M304" s="429" t="s">
        <v>443</v>
      </c>
      <c r="N304" s="430">
        <v>0.2349</v>
      </c>
      <c r="O304" s="148"/>
      <c r="P304" s="148"/>
      <c r="Q304" s="430">
        <v>0.13750000000000001</v>
      </c>
      <c r="R304" s="431">
        <v>7.1199999935925001E-3</v>
      </c>
      <c r="S304" s="432">
        <v>2.1800000000000001E-3</v>
      </c>
      <c r="T304" s="433">
        <v>8.4899999797344208E-2</v>
      </c>
      <c r="U304" s="435"/>
    </row>
    <row r="305" spans="2:21" x14ac:dyDescent="0.25">
      <c r="B305" s="424" t="s">
        <v>390</v>
      </c>
      <c r="C305" s="425" t="s">
        <v>391</v>
      </c>
      <c r="D305" s="424" t="s">
        <v>439</v>
      </c>
      <c r="E305" s="424" t="s">
        <v>393</v>
      </c>
      <c r="F305" s="424" t="s">
        <v>432</v>
      </c>
      <c r="G305" s="424">
        <v>65</v>
      </c>
      <c r="H305" s="425" t="s">
        <v>470</v>
      </c>
      <c r="I305" s="427">
        <v>5611</v>
      </c>
      <c r="J305" s="427">
        <v>66</v>
      </c>
      <c r="K305" s="427">
        <v>5677</v>
      </c>
      <c r="L305" s="428">
        <v>94150</v>
      </c>
      <c r="M305" s="429" t="s">
        <v>441</v>
      </c>
      <c r="N305" s="430">
        <v>8.1000000000000003E-2</v>
      </c>
      <c r="O305" s="148"/>
      <c r="P305" s="148"/>
      <c r="Q305" s="430">
        <v>0.13750000000000001</v>
      </c>
      <c r="R305" s="431">
        <v>7.1199999935925001E-3</v>
      </c>
      <c r="S305" s="432">
        <v>2.1800000000000001E-3</v>
      </c>
      <c r="T305" s="433">
        <v>7.8799999952316291E-2</v>
      </c>
      <c r="U305" s="435"/>
    </row>
    <row r="306" spans="2:21" x14ac:dyDescent="0.25">
      <c r="B306" s="424" t="s">
        <v>390</v>
      </c>
      <c r="C306" s="425" t="s">
        <v>391</v>
      </c>
      <c r="D306" s="424" t="s">
        <v>439</v>
      </c>
      <c r="E306" s="424" t="s">
        <v>397</v>
      </c>
      <c r="F306" s="424" t="s">
        <v>471</v>
      </c>
      <c r="G306" s="424">
        <v>67</v>
      </c>
      <c r="H306" s="425" t="s">
        <v>180</v>
      </c>
      <c r="I306" s="427">
        <v>22619</v>
      </c>
      <c r="J306" s="427">
        <v>216</v>
      </c>
      <c r="K306" s="427">
        <v>22835</v>
      </c>
      <c r="L306" s="428">
        <v>94160</v>
      </c>
      <c r="M306" s="429" t="s">
        <v>449</v>
      </c>
      <c r="N306" s="430">
        <v>0.188</v>
      </c>
      <c r="O306" s="148"/>
      <c r="P306" s="148"/>
      <c r="Q306" s="430">
        <v>0.13750000000000001</v>
      </c>
      <c r="R306" s="431">
        <v>7.1199999935925001E-3</v>
      </c>
      <c r="S306" s="432">
        <v>2.1800000000000001E-3</v>
      </c>
      <c r="T306" s="433">
        <v>3.7999999970197679E-2</v>
      </c>
      <c r="U306" s="435"/>
    </row>
    <row r="307" spans="2:21" x14ac:dyDescent="0.25">
      <c r="B307" s="424" t="s">
        <v>390</v>
      </c>
      <c r="C307" s="425" t="s">
        <v>391</v>
      </c>
      <c r="D307" s="424" t="s">
        <v>439</v>
      </c>
      <c r="E307" s="424" t="s">
        <v>397</v>
      </c>
      <c r="F307" s="424" t="s">
        <v>413</v>
      </c>
      <c r="G307" s="424">
        <v>68</v>
      </c>
      <c r="H307" s="425" t="s">
        <v>181</v>
      </c>
      <c r="I307" s="427">
        <v>74859</v>
      </c>
      <c r="J307" s="427">
        <v>900</v>
      </c>
      <c r="K307" s="427">
        <v>75759</v>
      </c>
      <c r="L307" s="428">
        <v>94100</v>
      </c>
      <c r="M307" s="429" t="s">
        <v>449</v>
      </c>
      <c r="N307" s="430">
        <v>0.1754</v>
      </c>
      <c r="O307" s="148"/>
      <c r="P307" s="148"/>
      <c r="Q307" s="430">
        <v>0.13750000000000001</v>
      </c>
      <c r="R307" s="431">
        <v>7.1199999935925001E-3</v>
      </c>
      <c r="S307" s="432">
        <v>2.1800000000000001E-3</v>
      </c>
      <c r="T307" s="433">
        <v>6.5999999940395349E-2</v>
      </c>
      <c r="U307" s="435"/>
    </row>
    <row r="308" spans="2:21" x14ac:dyDescent="0.25">
      <c r="B308" s="424" t="s">
        <v>390</v>
      </c>
      <c r="C308" s="425" t="s">
        <v>391</v>
      </c>
      <c r="D308" s="424" t="s">
        <v>439</v>
      </c>
      <c r="E308" s="424" t="s">
        <v>397</v>
      </c>
      <c r="F308" s="424" t="s">
        <v>424</v>
      </c>
      <c r="G308" s="424">
        <v>69</v>
      </c>
      <c r="H308" s="425" t="s">
        <v>182</v>
      </c>
      <c r="I308" s="427">
        <v>14056</v>
      </c>
      <c r="J308" s="427">
        <v>97</v>
      </c>
      <c r="K308" s="427">
        <v>14153</v>
      </c>
      <c r="L308" s="428">
        <v>94410</v>
      </c>
      <c r="M308" s="429" t="s">
        <v>449</v>
      </c>
      <c r="N308" s="430">
        <v>0.17449999999999999</v>
      </c>
      <c r="O308" s="148"/>
      <c r="P308" s="148"/>
      <c r="Q308" s="430">
        <v>0.13750000000000001</v>
      </c>
      <c r="R308" s="431">
        <v>7.1199999935925001E-3</v>
      </c>
      <c r="S308" s="432">
        <v>2.1800000000000001E-3</v>
      </c>
      <c r="T308" s="433">
        <v>4.7099999934434894E-2</v>
      </c>
      <c r="U308" s="435"/>
    </row>
    <row r="309" spans="2:21" x14ac:dyDescent="0.25">
      <c r="B309" s="424" t="s">
        <v>390</v>
      </c>
      <c r="C309" s="425" t="s">
        <v>391</v>
      </c>
      <c r="D309" s="424" t="s">
        <v>439</v>
      </c>
      <c r="E309" s="424" t="s">
        <v>401</v>
      </c>
      <c r="F309" s="424" t="s">
        <v>445</v>
      </c>
      <c r="G309" s="424">
        <v>70</v>
      </c>
      <c r="H309" s="425" t="s">
        <v>472</v>
      </c>
      <c r="I309" s="427">
        <v>3775</v>
      </c>
      <c r="J309" s="427">
        <v>57</v>
      </c>
      <c r="K309" s="427">
        <v>3832</v>
      </c>
      <c r="L309" s="428">
        <v>94440</v>
      </c>
      <c r="M309" s="429" t="s">
        <v>443</v>
      </c>
      <c r="N309" s="430">
        <v>0.16170000000000001</v>
      </c>
      <c r="O309" s="148"/>
      <c r="P309" s="148"/>
      <c r="Q309" s="430">
        <v>0.13750000000000001</v>
      </c>
      <c r="R309" s="431">
        <v>7.1199999935925001E-3</v>
      </c>
      <c r="S309" s="432">
        <v>2.1800000000000001E-3</v>
      </c>
      <c r="T309" s="433">
        <v>6.8499999940395351E-2</v>
      </c>
      <c r="U309" s="435"/>
    </row>
    <row r="310" spans="2:21" x14ac:dyDescent="0.25">
      <c r="B310" s="424" t="s">
        <v>390</v>
      </c>
      <c r="C310" s="425" t="s">
        <v>391</v>
      </c>
      <c r="D310" s="424" t="s">
        <v>439</v>
      </c>
      <c r="E310" s="424" t="s">
        <v>401</v>
      </c>
      <c r="F310" s="424" t="s">
        <v>420</v>
      </c>
      <c r="G310" s="424">
        <v>71</v>
      </c>
      <c r="H310" s="425" t="s">
        <v>473</v>
      </c>
      <c r="I310" s="427">
        <v>26472</v>
      </c>
      <c r="J310" s="427">
        <v>237</v>
      </c>
      <c r="K310" s="427">
        <v>26709</v>
      </c>
      <c r="L310" s="428">
        <v>94370</v>
      </c>
      <c r="M310" s="429" t="s">
        <v>443</v>
      </c>
      <c r="N310" s="430">
        <v>0.2233</v>
      </c>
      <c r="O310" s="148"/>
      <c r="P310" s="148"/>
      <c r="Q310" s="430">
        <v>0.13750000000000001</v>
      </c>
      <c r="R310" s="431">
        <v>7.1199999935925001E-3</v>
      </c>
      <c r="S310" s="432">
        <v>2.1800000000000001E-3</v>
      </c>
      <c r="T310" s="433">
        <v>8.4899999797344208E-2</v>
      </c>
      <c r="U310" s="435"/>
    </row>
    <row r="311" spans="2:21" x14ac:dyDescent="0.25">
      <c r="B311" s="424" t="s">
        <v>390</v>
      </c>
      <c r="C311" s="425" t="s">
        <v>391</v>
      </c>
      <c r="D311" s="424" t="s">
        <v>439</v>
      </c>
      <c r="E311" s="424" t="s">
        <v>393</v>
      </c>
      <c r="F311" s="424" t="s">
        <v>432</v>
      </c>
      <c r="G311" s="424">
        <v>73</v>
      </c>
      <c r="H311" s="425" t="s">
        <v>474</v>
      </c>
      <c r="I311" s="427">
        <v>29017</v>
      </c>
      <c r="J311" s="427">
        <v>230</v>
      </c>
      <c r="K311" s="427">
        <v>29247</v>
      </c>
      <c r="L311" s="428">
        <v>94320</v>
      </c>
      <c r="M311" s="429" t="s">
        <v>441</v>
      </c>
      <c r="N311" s="430">
        <v>0.13</v>
      </c>
      <c r="O311" s="148"/>
      <c r="P311" s="148"/>
      <c r="Q311" s="430">
        <v>0.13750000000000001</v>
      </c>
      <c r="R311" s="431">
        <v>7.1199999935925001E-3</v>
      </c>
      <c r="S311" s="432">
        <v>2.1800000000000001E-3</v>
      </c>
      <c r="T311" s="433">
        <v>6.5799999982118607E-2</v>
      </c>
      <c r="U311" s="435"/>
    </row>
    <row r="312" spans="2:21" x14ac:dyDescent="0.25">
      <c r="B312" s="424" t="s">
        <v>390</v>
      </c>
      <c r="C312" s="425" t="s">
        <v>391</v>
      </c>
      <c r="D312" s="424" t="s">
        <v>439</v>
      </c>
      <c r="E312" s="424" t="s">
        <v>393</v>
      </c>
      <c r="F312" s="424" t="s">
        <v>423</v>
      </c>
      <c r="G312" s="424">
        <v>74</v>
      </c>
      <c r="H312" s="425" t="s">
        <v>475</v>
      </c>
      <c r="I312" s="427">
        <v>14796</v>
      </c>
      <c r="J312" s="427">
        <v>69</v>
      </c>
      <c r="K312" s="427">
        <v>14865</v>
      </c>
      <c r="L312" s="428">
        <v>94460</v>
      </c>
      <c r="M312" s="429" t="s">
        <v>441</v>
      </c>
      <c r="N312" s="430">
        <v>0.22600000000000001</v>
      </c>
      <c r="O312" s="148"/>
      <c r="P312" s="148"/>
      <c r="Q312" s="430">
        <v>0.13750000000000001</v>
      </c>
      <c r="R312" s="431">
        <v>7.1199999935925001E-3</v>
      </c>
      <c r="S312" s="432">
        <v>2.1800000000000001E-3</v>
      </c>
      <c r="T312" s="433">
        <v>8.2899999916553502E-2</v>
      </c>
      <c r="U312" s="435"/>
    </row>
    <row r="313" spans="2:21" x14ac:dyDescent="0.25">
      <c r="B313" s="424" t="s">
        <v>390</v>
      </c>
      <c r="C313" s="425" t="s">
        <v>391</v>
      </c>
      <c r="D313" s="424" t="s">
        <v>439</v>
      </c>
      <c r="E313" s="424" t="s">
        <v>401</v>
      </c>
      <c r="F313" s="424" t="s">
        <v>445</v>
      </c>
      <c r="G313" s="424">
        <v>75</v>
      </c>
      <c r="H313" s="425" t="s">
        <v>476</v>
      </c>
      <c r="I313" s="427">
        <v>10458</v>
      </c>
      <c r="J313" s="427">
        <v>58</v>
      </c>
      <c r="K313" s="427">
        <v>10516</v>
      </c>
      <c r="L313" s="428">
        <v>94440</v>
      </c>
      <c r="M313" s="429" t="s">
        <v>443</v>
      </c>
      <c r="N313" s="430">
        <v>0.20799999999999999</v>
      </c>
      <c r="O313" s="148"/>
      <c r="P313" s="148"/>
      <c r="Q313" s="430">
        <v>0.13750000000000001</v>
      </c>
      <c r="R313" s="431">
        <v>7.1199999935925001E-3</v>
      </c>
      <c r="S313" s="432">
        <v>2.1800000000000001E-3</v>
      </c>
      <c r="T313" s="433">
        <v>8.1699999868869777E-2</v>
      </c>
      <c r="U313" s="435"/>
    </row>
    <row r="314" spans="2:21" x14ac:dyDescent="0.25">
      <c r="B314" s="424" t="s">
        <v>390</v>
      </c>
      <c r="C314" s="425" t="s">
        <v>391</v>
      </c>
      <c r="D314" s="424" t="s">
        <v>439</v>
      </c>
      <c r="E314" s="424" t="s">
        <v>393</v>
      </c>
      <c r="F314" s="424" t="s">
        <v>411</v>
      </c>
      <c r="G314" s="424">
        <v>76</v>
      </c>
      <c r="H314" s="425" t="s">
        <v>477</v>
      </c>
      <c r="I314" s="427">
        <v>54753</v>
      </c>
      <c r="J314" s="427">
        <v>294</v>
      </c>
      <c r="K314" s="427">
        <v>55047</v>
      </c>
      <c r="L314" s="428">
        <v>94800</v>
      </c>
      <c r="M314" s="429" t="s">
        <v>441</v>
      </c>
      <c r="N314" s="430">
        <v>0.24840000000000001</v>
      </c>
      <c r="O314" s="148"/>
      <c r="P314" s="148"/>
      <c r="Q314" s="430">
        <v>0.13750000000000001</v>
      </c>
      <c r="R314" s="431">
        <v>7.1199999935925001E-3</v>
      </c>
      <c r="S314" s="432">
        <v>2.1800000000000001E-3</v>
      </c>
      <c r="T314" s="433">
        <v>5.8599999994039538E-2</v>
      </c>
      <c r="U314" s="435"/>
    </row>
    <row r="315" spans="2:21" x14ac:dyDescent="0.25">
      <c r="B315" s="424" t="s">
        <v>390</v>
      </c>
      <c r="C315" s="425" t="s">
        <v>391</v>
      </c>
      <c r="D315" s="424" t="s">
        <v>439</v>
      </c>
      <c r="E315" s="424" t="s">
        <v>393</v>
      </c>
      <c r="F315" s="424" t="s">
        <v>425</v>
      </c>
      <c r="G315" s="424">
        <v>77</v>
      </c>
      <c r="H315" s="425" t="s">
        <v>478</v>
      </c>
      <c r="I315" s="427">
        <v>21384</v>
      </c>
      <c r="J315" s="427">
        <v>97</v>
      </c>
      <c r="K315" s="427">
        <v>21481</v>
      </c>
      <c r="L315" s="428">
        <v>94190</v>
      </c>
      <c r="M315" s="429" t="s">
        <v>441</v>
      </c>
      <c r="N315" s="430">
        <v>0.25729999999999997</v>
      </c>
      <c r="O315" s="148"/>
      <c r="P315" s="148"/>
      <c r="Q315" s="430">
        <v>0.13750000000000001</v>
      </c>
      <c r="R315" s="431">
        <v>7.1199999935925001E-3</v>
      </c>
      <c r="S315" s="432">
        <v>2.1800000000000001E-3</v>
      </c>
      <c r="T315" s="433">
        <v>8.5999999940395352E-2</v>
      </c>
      <c r="U315" s="435"/>
    </row>
    <row r="316" spans="2:21" ht="25.5" x14ac:dyDescent="0.25">
      <c r="B316" s="424" t="s">
        <v>390</v>
      </c>
      <c r="C316" s="425" t="s">
        <v>391</v>
      </c>
      <c r="D316" s="424" t="s">
        <v>439</v>
      </c>
      <c r="E316" s="424" t="s">
        <v>393</v>
      </c>
      <c r="F316" s="424" t="s">
        <v>416</v>
      </c>
      <c r="G316" s="424">
        <v>78</v>
      </c>
      <c r="H316" s="425" t="s">
        <v>479</v>
      </c>
      <c r="I316" s="427">
        <v>33545</v>
      </c>
      <c r="J316" s="427">
        <v>91</v>
      </c>
      <c r="K316" s="427">
        <v>33636</v>
      </c>
      <c r="L316" s="428">
        <v>94290</v>
      </c>
      <c r="M316" s="429" t="s">
        <v>441</v>
      </c>
      <c r="N316" s="430">
        <v>0.22339999999999999</v>
      </c>
      <c r="O316" s="148"/>
      <c r="P316" s="148"/>
      <c r="Q316" s="430">
        <v>0.13750000000000001</v>
      </c>
      <c r="R316" s="431">
        <v>7.1199999935925001E-3</v>
      </c>
      <c r="S316" s="432">
        <v>2.1800000000000001E-3</v>
      </c>
      <c r="T316" s="433">
        <v>0.10599999994039536</v>
      </c>
      <c r="U316" s="435"/>
    </row>
    <row r="317" spans="2:21" x14ac:dyDescent="0.25">
      <c r="B317" s="424" t="s">
        <v>390</v>
      </c>
      <c r="C317" s="425" t="s">
        <v>391</v>
      </c>
      <c r="D317" s="424" t="s">
        <v>439</v>
      </c>
      <c r="E317" s="424" t="s">
        <v>397</v>
      </c>
      <c r="F317" s="424" t="s">
        <v>448</v>
      </c>
      <c r="G317" s="424">
        <v>79</v>
      </c>
      <c r="H317" s="425" t="s">
        <v>185</v>
      </c>
      <c r="I317" s="427">
        <v>28456</v>
      </c>
      <c r="J317" s="427">
        <v>111</v>
      </c>
      <c r="K317" s="427">
        <v>28567</v>
      </c>
      <c r="L317" s="428">
        <v>94350</v>
      </c>
      <c r="M317" s="429" t="s">
        <v>449</v>
      </c>
      <c r="N317" s="430">
        <v>0.24399999999999999</v>
      </c>
      <c r="O317" s="148"/>
      <c r="P317" s="148"/>
      <c r="Q317" s="430">
        <v>0.13750000000000001</v>
      </c>
      <c r="R317" s="431">
        <v>7.1199999935925001E-3</v>
      </c>
      <c r="S317" s="432">
        <v>2.1800000000000001E-3</v>
      </c>
      <c r="T317" s="433">
        <v>8.3899999856948848E-2</v>
      </c>
      <c r="U317" s="435"/>
    </row>
    <row r="318" spans="2:21" x14ac:dyDescent="0.25">
      <c r="B318" s="424" t="s">
        <v>390</v>
      </c>
      <c r="C318" s="425" t="s">
        <v>391</v>
      </c>
      <c r="D318" s="424" t="s">
        <v>439</v>
      </c>
      <c r="E318" s="424" t="s">
        <v>397</v>
      </c>
      <c r="F318" s="424" t="s">
        <v>422</v>
      </c>
      <c r="G318" s="424">
        <v>80</v>
      </c>
      <c r="H318" s="425" t="s">
        <v>186</v>
      </c>
      <c r="I318" s="427">
        <v>49891</v>
      </c>
      <c r="J318" s="427">
        <v>376</v>
      </c>
      <c r="K318" s="427">
        <v>50267</v>
      </c>
      <c r="L318" s="428">
        <v>94300</v>
      </c>
      <c r="M318" s="429" t="s">
        <v>449</v>
      </c>
      <c r="N318" s="430">
        <v>0.18679999999999999</v>
      </c>
      <c r="O318" s="148"/>
      <c r="P318" s="148"/>
      <c r="Q318" s="430">
        <v>0.13750000000000001</v>
      </c>
      <c r="R318" s="431">
        <v>7.1199999935925001E-3</v>
      </c>
      <c r="S318" s="432">
        <v>2.1800000000000001E-3</v>
      </c>
      <c r="T318" s="433">
        <v>5.2499999999999998E-2</v>
      </c>
      <c r="U318" s="435"/>
    </row>
    <row r="319" spans="2:21" x14ac:dyDescent="0.25">
      <c r="B319" s="424" t="s">
        <v>390</v>
      </c>
      <c r="C319" s="425" t="s">
        <v>391</v>
      </c>
      <c r="D319" s="424" t="s">
        <v>439</v>
      </c>
      <c r="E319" s="424" t="s">
        <v>393</v>
      </c>
      <c r="F319" s="424" t="s">
        <v>429</v>
      </c>
      <c r="G319" s="424">
        <v>81</v>
      </c>
      <c r="H319" s="425" t="s">
        <v>480</v>
      </c>
      <c r="I319" s="427">
        <v>93557</v>
      </c>
      <c r="J319" s="427">
        <v>502</v>
      </c>
      <c r="K319" s="427">
        <v>94059</v>
      </c>
      <c r="L319" s="428">
        <v>94400</v>
      </c>
      <c r="M319" s="429" t="s">
        <v>441</v>
      </c>
      <c r="N319" s="430">
        <v>0.19370000000000001</v>
      </c>
      <c r="O319" s="148"/>
      <c r="P319" s="148"/>
      <c r="Q319" s="430">
        <v>0.13750000000000001</v>
      </c>
      <c r="R319" s="431">
        <v>7.1199999935925001E-3</v>
      </c>
      <c r="S319" s="432">
        <v>2.1800000000000001E-3</v>
      </c>
      <c r="T319" s="433">
        <v>6.349999994039536E-2</v>
      </c>
      <c r="U319" s="435"/>
    </row>
  </sheetData>
  <mergeCells count="64">
    <mergeCell ref="B2:J2"/>
    <mergeCell ref="B18:S18"/>
    <mergeCell ref="E19:F19"/>
    <mergeCell ref="G19:I19"/>
    <mergeCell ref="S105:S106"/>
    <mergeCell ref="T105:T106"/>
    <mergeCell ref="U105:U106"/>
    <mergeCell ref="V105:V106"/>
    <mergeCell ref="B82:R82"/>
    <mergeCell ref="B83:E83"/>
    <mergeCell ref="B84:F84"/>
    <mergeCell ref="I84:J84"/>
    <mergeCell ref="D104:I104"/>
    <mergeCell ref="J104:N104"/>
    <mergeCell ref="O104:S104"/>
    <mergeCell ref="X105:X106"/>
    <mergeCell ref="B142:H142"/>
    <mergeCell ref="Y105:Y106"/>
    <mergeCell ref="Z105:Z106"/>
    <mergeCell ref="T104:V104"/>
    <mergeCell ref="X104:AD104"/>
    <mergeCell ref="B105:B106"/>
    <mergeCell ref="C105:C106"/>
    <mergeCell ref="D105:G105"/>
    <mergeCell ref="H105:H106"/>
    <mergeCell ref="I105:I106"/>
    <mergeCell ref="J105:M105"/>
    <mergeCell ref="N105:N106"/>
    <mergeCell ref="O105:R105"/>
    <mergeCell ref="AC105:AC106"/>
    <mergeCell ref="AD105:AD106"/>
    <mergeCell ref="AH105:AH106"/>
    <mergeCell ref="AI105:AI106"/>
    <mergeCell ref="G143:H143"/>
    <mergeCell ref="B152:H152"/>
    <mergeCell ref="B153:B154"/>
    <mergeCell ref="C153:C154"/>
    <mergeCell ref="D153:D154"/>
    <mergeCell ref="E153:E154"/>
    <mergeCell ref="F153:F154"/>
    <mergeCell ref="G153:H153"/>
    <mergeCell ref="AA105:AA106"/>
    <mergeCell ref="AB105:AB106"/>
    <mergeCell ref="AE105:AE106"/>
    <mergeCell ref="AF105:AF106"/>
    <mergeCell ref="AG105:AG106"/>
    <mergeCell ref="W105:W106"/>
    <mergeCell ref="B211:S211"/>
    <mergeCell ref="B169:B170"/>
    <mergeCell ref="C169:C170"/>
    <mergeCell ref="D169:E169"/>
    <mergeCell ref="F169:F170"/>
    <mergeCell ref="G169:G170"/>
    <mergeCell ref="B175:D175"/>
    <mergeCell ref="B176:D176"/>
    <mergeCell ref="B181:D181"/>
    <mergeCell ref="B187:D187"/>
    <mergeCell ref="B201:D201"/>
    <mergeCell ref="B207:D207"/>
    <mergeCell ref="B230:K230"/>
    <mergeCell ref="L230:M230"/>
    <mergeCell ref="N230:T231"/>
    <mergeCell ref="G231:K231"/>
    <mergeCell ref="L231:M231"/>
  </mergeCells>
  <hyperlinks>
    <hyperlink ref="D44" r:id="rId1" xr:uid="{5A49AE48-655A-4CE4-A9B0-C16DB9873D43}"/>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CC85-5FEC-4115-BFB3-914591E32F54}">
  <sheetPr filterMode="1">
    <tabColor rgb="FFFF9900"/>
    <outlinePr summaryBelow="0" summaryRight="0"/>
    <pageSetUpPr fitToPage="1"/>
  </sheetPr>
  <dimension ref="A1:V225"/>
  <sheetViews>
    <sheetView topLeftCell="A16" zoomScale="106" zoomScaleNormal="106" zoomScaleSheetLayoutView="80" workbookViewId="0">
      <selection activeCell="P13" sqref="P13"/>
    </sheetView>
  </sheetViews>
  <sheetFormatPr baseColWidth="10" defaultColWidth="0" defaultRowHeight="0" customHeight="1" zeroHeight="1" outlineLevelRow="1" outlineLevelCol="2" x14ac:dyDescent="0.25"/>
  <cols>
    <col min="1" max="2" width="14" style="2" customWidth="1"/>
    <col min="3" max="4" width="22.5703125" style="2" customWidth="1"/>
    <col min="5" max="5" width="2.85546875" style="2" customWidth="1"/>
    <col min="6" max="6" width="16.85546875" style="2" customWidth="1"/>
    <col min="7" max="7" width="4.5703125" style="2" customWidth="1"/>
    <col min="8" max="8" width="16.85546875" style="2" customWidth="1"/>
    <col min="9" max="9" width="2.85546875" style="2" customWidth="1"/>
    <col min="10" max="10" width="20.42578125" style="2" customWidth="1"/>
    <col min="11" max="11" width="3" style="2" customWidth="1"/>
    <col min="12" max="12" width="10" style="2" customWidth="1" outlineLevel="1"/>
    <col min="13" max="13" width="3" style="2" customWidth="1" outlineLevel="2"/>
    <col min="14" max="14" width="15.85546875" style="2" customWidth="1" outlineLevel="2"/>
    <col min="15" max="15" width="3" style="2" customWidth="1" outlineLevel="2"/>
    <col min="16" max="16" width="15.140625" style="2" customWidth="1" outlineLevel="2"/>
    <col min="17" max="17" width="3" style="2" customWidth="1" outlineLevel="2"/>
    <col min="18" max="18" width="14.85546875" style="2" customWidth="1" outlineLevel="2"/>
    <col min="19" max="19" width="3" style="2" customWidth="1" outlineLevel="2"/>
    <col min="20" max="20" width="15" style="2" customWidth="1" outlineLevel="2"/>
    <col min="21" max="21" width="4.85546875" style="2" customWidth="1" outlineLevel="2"/>
    <col min="22" max="22" width="5.85546875" style="2" customWidth="1" outlineLevel="2"/>
    <col min="23" max="16384" width="11.5703125" style="2" hidden="1"/>
  </cols>
  <sheetData>
    <row r="1" spans="1:22" ht="15" x14ac:dyDescent="0.25">
      <c r="A1" s="471"/>
      <c r="B1" s="472"/>
      <c r="C1" s="472"/>
      <c r="D1" s="472"/>
      <c r="E1" s="472"/>
      <c r="F1" s="472"/>
      <c r="G1" s="472"/>
      <c r="H1" s="472"/>
      <c r="I1" s="472"/>
      <c r="J1" s="472"/>
      <c r="K1" s="472"/>
      <c r="L1" s="472"/>
      <c r="M1" s="472"/>
      <c r="N1" s="472"/>
      <c r="O1" s="472"/>
      <c r="P1" s="472"/>
      <c r="Q1" s="472"/>
      <c r="R1" s="472"/>
      <c r="S1" s="472"/>
      <c r="T1" s="472"/>
      <c r="U1" s="472"/>
      <c r="V1" s="473"/>
    </row>
    <row r="2" spans="1:22" ht="21" customHeight="1" x14ac:dyDescent="0.25">
      <c r="A2" s="474"/>
      <c r="V2" s="475"/>
    </row>
    <row r="3" spans="1:22" ht="21" customHeight="1" x14ac:dyDescent="0.25">
      <c r="A3" s="474"/>
      <c r="V3" s="475"/>
    </row>
    <row r="4" spans="1:22" ht="21" customHeight="1" x14ac:dyDescent="0.25">
      <c r="A4" s="474"/>
      <c r="V4" s="475"/>
    </row>
    <row r="5" spans="1:22" ht="62.45" customHeight="1" x14ac:dyDescent="0.25">
      <c r="A5" s="474"/>
      <c r="B5" s="746" t="s">
        <v>593</v>
      </c>
      <c r="C5" s="746"/>
      <c r="D5" s="746"/>
      <c r="E5" s="746"/>
      <c r="F5" s="746"/>
      <c r="G5" s="746"/>
      <c r="H5" s="746"/>
      <c r="I5" s="746"/>
      <c r="J5" s="746"/>
      <c r="K5" s="589"/>
      <c r="L5" s="589"/>
      <c r="M5" s="589"/>
      <c r="N5" s="589"/>
      <c r="O5" s="589"/>
      <c r="P5" s="589"/>
      <c r="Q5" s="589"/>
      <c r="R5" s="589"/>
      <c r="S5" s="589"/>
      <c r="T5" s="589"/>
      <c r="U5" s="589"/>
      <c r="V5" s="475"/>
    </row>
    <row r="6" spans="1:22" ht="15" x14ac:dyDescent="0.25">
      <c r="A6" s="474"/>
      <c r="V6" s="475"/>
    </row>
    <row r="7" spans="1:22" ht="15" x14ac:dyDescent="0.25">
      <c r="A7" s="474"/>
      <c r="B7" s="747" t="s">
        <v>634</v>
      </c>
      <c r="C7" s="747"/>
      <c r="D7" s="747" t="s">
        <v>623</v>
      </c>
      <c r="E7" s="747"/>
      <c r="F7" s="747"/>
      <c r="G7" s="747"/>
      <c r="H7" s="747" t="s">
        <v>620</v>
      </c>
      <c r="I7" s="747"/>
      <c r="J7" s="747"/>
      <c r="V7" s="475"/>
    </row>
    <row r="8" spans="1:22" ht="15" x14ac:dyDescent="0.25">
      <c r="A8" s="474"/>
      <c r="B8" s="29" t="s">
        <v>631</v>
      </c>
      <c r="C8" s="148"/>
      <c r="D8" s="29" t="s">
        <v>621</v>
      </c>
      <c r="F8" s="139"/>
      <c r="H8" s="2" t="s">
        <v>626</v>
      </c>
      <c r="J8" s="405" t="str">
        <f>scénario_1!B8</f>
        <v>Oui</v>
      </c>
      <c r="V8" s="475"/>
    </row>
    <row r="9" spans="1:22" ht="15" x14ac:dyDescent="0.25">
      <c r="A9" s="474"/>
      <c r="B9" s="29" t="s">
        <v>632</v>
      </c>
      <c r="C9" s="148"/>
      <c r="D9" s="29" t="s">
        <v>622</v>
      </c>
      <c r="F9" s="405">
        <f>scénario_1!B4</f>
        <v>100</v>
      </c>
      <c r="H9" s="2" t="s">
        <v>627</v>
      </c>
      <c r="J9" s="621">
        <f>scénario_1!B9</f>
        <v>0.35</v>
      </c>
      <c r="V9" s="475"/>
    </row>
    <row r="10" spans="1:22" ht="15" x14ac:dyDescent="0.25">
      <c r="A10" s="474"/>
      <c r="B10" s="29" t="s">
        <v>633</v>
      </c>
      <c r="C10" s="148"/>
      <c r="D10" s="29" t="s">
        <v>624</v>
      </c>
      <c r="F10" s="405" t="str">
        <f>scénario_1!B6</f>
        <v>Gaz</v>
      </c>
      <c r="H10" s="2" t="s">
        <v>628</v>
      </c>
      <c r="J10" s="405">
        <v>150</v>
      </c>
      <c r="V10" s="475"/>
    </row>
    <row r="11" spans="1:22" ht="15" x14ac:dyDescent="0.25">
      <c r="A11" s="474"/>
      <c r="B11" s="29" t="s">
        <v>630</v>
      </c>
      <c r="C11" s="148"/>
      <c r="D11" s="29" t="s">
        <v>625</v>
      </c>
      <c r="F11" s="405" t="str">
        <f>scénario_1!B3</f>
        <v>Très modestes</v>
      </c>
      <c r="H11" s="2" t="s">
        <v>629</v>
      </c>
      <c r="J11" s="405">
        <v>90</v>
      </c>
      <c r="V11" s="475"/>
    </row>
    <row r="12" spans="1:22" ht="15" x14ac:dyDescent="0.25">
      <c r="A12" s="474"/>
      <c r="V12" s="475"/>
    </row>
    <row r="13" spans="1:22" ht="21" x14ac:dyDescent="0.35">
      <c r="A13" s="474"/>
      <c r="B13" s="743" t="s">
        <v>548</v>
      </c>
      <c r="C13" s="743"/>
      <c r="D13" s="743"/>
      <c r="E13" s="743"/>
      <c r="F13" s="743"/>
      <c r="G13" s="743"/>
      <c r="H13" s="743"/>
      <c r="I13" s="743"/>
      <c r="J13" s="743"/>
      <c r="K13" s="743"/>
      <c r="M13" s="479"/>
      <c r="V13" s="475"/>
    </row>
    <row r="14" spans="1:22" ht="15" x14ac:dyDescent="0.25">
      <c r="A14" s="474"/>
      <c r="V14" s="475"/>
    </row>
    <row r="15" spans="1:22" ht="15.75" customHeight="1" x14ac:dyDescent="0.25">
      <c r="A15" s="474"/>
      <c r="F15" s="740" t="s">
        <v>550</v>
      </c>
      <c r="G15" s="480"/>
      <c r="H15" s="741" t="s">
        <v>551</v>
      </c>
      <c r="J15" s="742" t="s">
        <v>552</v>
      </c>
      <c r="M15" s="481"/>
      <c r="V15" s="475"/>
    </row>
    <row r="16" spans="1:22" ht="15.75" x14ac:dyDescent="0.25">
      <c r="A16" s="474"/>
      <c r="F16" s="740"/>
      <c r="G16" s="480"/>
      <c r="H16" s="741"/>
      <c r="J16" s="742"/>
      <c r="M16" s="481"/>
      <c r="V16" s="475"/>
    </row>
    <row r="17" spans="1:22" ht="15.75" hidden="1" x14ac:dyDescent="0.25">
      <c r="A17" s="474"/>
      <c r="D17" s="483" t="s">
        <v>573</v>
      </c>
      <c r="F17" s="525">
        <f>IF(J17="oui",scénario_1!O54,0)</f>
        <v>0</v>
      </c>
      <c r="G17" s="531"/>
      <c r="H17" s="526">
        <f>IF($F$30=0,0,F17/$F$30)</f>
        <v>0</v>
      </c>
      <c r="I17" s="484"/>
      <c r="J17" s="485" t="s">
        <v>33</v>
      </c>
      <c r="M17" s="481"/>
      <c r="V17" s="475"/>
    </row>
    <row r="18" spans="1:22" ht="15.75" hidden="1" x14ac:dyDescent="0.25">
      <c r="A18" s="474"/>
      <c r="D18" s="483" t="s">
        <v>618</v>
      </c>
      <c r="F18" s="525">
        <f>scénario_1!J54</f>
        <v>0</v>
      </c>
      <c r="G18" s="531"/>
      <c r="H18" s="526"/>
      <c r="I18" s="484"/>
      <c r="J18" s="485" t="s">
        <v>33</v>
      </c>
      <c r="M18" s="481"/>
      <c r="V18" s="475"/>
    </row>
    <row r="19" spans="1:22" ht="15.75" hidden="1" x14ac:dyDescent="0.25">
      <c r="A19" s="474"/>
      <c r="D19" s="483" t="s">
        <v>574</v>
      </c>
      <c r="F19" s="527">
        <f>IF(J19="oui",scénario_1!J50,0)</f>
        <v>0</v>
      </c>
      <c r="G19" s="532"/>
      <c r="H19" s="528">
        <f>IF(F30=0,0,F19/F30)</f>
        <v>0</v>
      </c>
      <c r="I19" s="486"/>
      <c r="J19" s="487" t="s">
        <v>33</v>
      </c>
      <c r="M19" s="481"/>
      <c r="V19" s="475"/>
    </row>
    <row r="20" spans="1:22" ht="15.75" hidden="1" x14ac:dyDescent="0.25">
      <c r="A20" s="474"/>
      <c r="D20" s="483" t="s">
        <v>575</v>
      </c>
      <c r="F20" s="527">
        <f>IF(J20="oui",scénario_1!J51,0)</f>
        <v>0</v>
      </c>
      <c r="G20" s="532"/>
      <c r="H20" s="528">
        <f>IF(F30=0,0,F20/F30)</f>
        <v>0</v>
      </c>
      <c r="I20" s="486"/>
      <c r="J20" s="487" t="s">
        <v>33</v>
      </c>
      <c r="M20" s="481"/>
      <c r="V20" s="475"/>
    </row>
    <row r="21" spans="1:22" ht="15.75" x14ac:dyDescent="0.25">
      <c r="A21" s="474"/>
      <c r="D21" s="483" t="s">
        <v>572</v>
      </c>
      <c r="F21" s="527">
        <f>IF(J21="oui",scénario_1!R54,0)</f>
        <v>5542</v>
      </c>
      <c r="G21" s="532"/>
      <c r="H21" s="528">
        <f>IF(F30=0,0,F21/F30)</f>
        <v>0.18722972972972973</v>
      </c>
      <c r="I21" s="486"/>
      <c r="J21" s="487" t="s">
        <v>21</v>
      </c>
      <c r="M21" s="481"/>
      <c r="V21" s="475"/>
    </row>
    <row r="22" spans="1:22" ht="15.75" hidden="1" x14ac:dyDescent="0.25">
      <c r="A22" s="474"/>
      <c r="D22" s="483" t="s">
        <v>576</v>
      </c>
      <c r="F22" s="527">
        <f>IF(J22="oui",scénario_1!L54,0)</f>
        <v>0</v>
      </c>
      <c r="G22" s="532"/>
      <c r="H22" s="528">
        <f>IF(F30=0,0,F22/F30)</f>
        <v>0</v>
      </c>
      <c r="I22" s="486"/>
      <c r="J22" s="487" t="s">
        <v>33</v>
      </c>
      <c r="M22" s="481"/>
      <c r="V22" s="475"/>
    </row>
    <row r="23" spans="1:22" ht="15.75" x14ac:dyDescent="0.25">
      <c r="A23" s="474"/>
      <c r="D23" s="483" t="s">
        <v>577</v>
      </c>
      <c r="F23" s="527">
        <f>IF(J23="oui",scénario_1!F54,0)</f>
        <v>0</v>
      </c>
      <c r="G23" s="532"/>
      <c r="H23" s="528">
        <f>IF($F$30=0,0,F23/$F$30)</f>
        <v>0</v>
      </c>
      <c r="I23" s="486"/>
      <c r="J23" s="487" t="s">
        <v>33</v>
      </c>
      <c r="M23" s="488"/>
      <c r="V23" s="475"/>
    </row>
    <row r="24" spans="1:22" ht="15.75" hidden="1" x14ac:dyDescent="0.25">
      <c r="A24" s="474"/>
      <c r="D24" s="483" t="s">
        <v>578</v>
      </c>
      <c r="E24" s="489"/>
      <c r="F24" s="527">
        <f>IF(J24="oui",scénario_1!H53,0)</f>
        <v>0</v>
      </c>
      <c r="G24" s="532"/>
      <c r="H24" s="528">
        <f>IF($F$30=0,0,F24/$F$30)</f>
        <v>0</v>
      </c>
      <c r="I24" s="486"/>
      <c r="J24" s="487" t="s">
        <v>33</v>
      </c>
      <c r="M24" s="491"/>
      <c r="V24" s="475"/>
    </row>
    <row r="25" spans="1:22" ht="15.75" hidden="1" x14ac:dyDescent="0.25">
      <c r="A25" s="474"/>
      <c r="D25" s="483" t="s">
        <v>555</v>
      </c>
      <c r="E25" s="489"/>
      <c r="F25" s="527">
        <f>IF(J25="oui",1000,0)</f>
        <v>0</v>
      </c>
      <c r="G25" s="532"/>
      <c r="H25" s="528">
        <f>IF($F$30=0,0,F25/$F$30)</f>
        <v>0</v>
      </c>
      <c r="I25" s="484"/>
      <c r="J25" s="485" t="s">
        <v>33</v>
      </c>
      <c r="M25" s="490"/>
      <c r="V25" s="475"/>
    </row>
    <row r="26" spans="1:22" ht="15.75" hidden="1" x14ac:dyDescent="0.25">
      <c r="A26" s="474"/>
      <c r="D26" s="483" t="s">
        <v>556</v>
      </c>
      <c r="F26" s="527">
        <v>0</v>
      </c>
      <c r="G26" s="532"/>
      <c r="H26" s="528">
        <f>IF($F$30=0,0,F26/$F$30)</f>
        <v>0</v>
      </c>
      <c r="I26" s="484"/>
      <c r="J26" s="485" t="s">
        <v>33</v>
      </c>
      <c r="M26" s="490"/>
      <c r="V26" s="475"/>
    </row>
    <row r="27" spans="1:22" ht="15.75" thickBot="1" x14ac:dyDescent="0.3">
      <c r="A27" s="474"/>
      <c r="D27" s="482"/>
      <c r="F27" s="493"/>
      <c r="G27" s="533"/>
      <c r="H27" s="494"/>
      <c r="M27" s="490"/>
      <c r="V27" s="475"/>
    </row>
    <row r="28" spans="1:22" ht="16.5" thickTop="1" x14ac:dyDescent="0.25">
      <c r="A28" s="474"/>
      <c r="D28" s="483" t="s">
        <v>558</v>
      </c>
      <c r="F28" s="529">
        <f>SUM(F17:F26)</f>
        <v>5542</v>
      </c>
      <c r="G28" s="495"/>
      <c r="H28" s="530">
        <f>IF($F$30=0,0,F28/$F$30)</f>
        <v>0.18722972972972973</v>
      </c>
      <c r="M28" s="490"/>
      <c r="V28" s="475"/>
    </row>
    <row r="29" spans="1:22" ht="4.5" customHeight="1" x14ac:dyDescent="0.25">
      <c r="A29" s="474"/>
      <c r="D29" s="482"/>
      <c r="F29" s="497"/>
      <c r="G29" s="497"/>
      <c r="H29" s="497"/>
      <c r="I29" s="488"/>
      <c r="M29" s="490"/>
      <c r="V29" s="475"/>
    </row>
    <row r="30" spans="1:22" ht="15.75" x14ac:dyDescent="0.25">
      <c r="A30" s="474"/>
      <c r="D30" s="483" t="s">
        <v>581</v>
      </c>
      <c r="F30" s="523">
        <f>scénario_1!E54</f>
        <v>29600</v>
      </c>
      <c r="H30" s="34"/>
      <c r="M30" s="491"/>
      <c r="V30" s="475"/>
    </row>
    <row r="31" spans="1:22" ht="4.5" customHeight="1" thickBot="1" x14ac:dyDescent="0.3">
      <c r="A31" s="474"/>
      <c r="D31" s="478"/>
      <c r="F31" s="383"/>
      <c r="M31" s="488"/>
      <c r="V31" s="475"/>
    </row>
    <row r="32" spans="1:22" ht="16.5" thickBot="1" x14ac:dyDescent="0.3">
      <c r="A32" s="474"/>
      <c r="D32" s="500" t="s">
        <v>0</v>
      </c>
      <c r="F32" s="501">
        <f>IF(F30-F28&lt;0,0,F30-F28)</f>
        <v>24058</v>
      </c>
      <c r="H32" s="497"/>
      <c r="M32" s="488"/>
      <c r="V32" s="475"/>
    </row>
    <row r="33" spans="1:22" ht="4.5" customHeight="1" thickBot="1" x14ac:dyDescent="0.3">
      <c r="A33" s="474"/>
      <c r="D33" s="478"/>
      <c r="M33" s="488"/>
      <c r="V33" s="475"/>
    </row>
    <row r="34" spans="1:22" ht="15.75" thickBot="1" x14ac:dyDescent="0.3">
      <c r="A34" s="474"/>
      <c r="D34" s="482" t="s">
        <v>596</v>
      </c>
      <c r="F34" s="523">
        <f>IF(F30=0,0,IF(F45&gt;F30,1,F45))</f>
        <v>29600</v>
      </c>
      <c r="G34" s="2" t="s">
        <v>583</v>
      </c>
      <c r="H34" s="501">
        <f>F30-F34</f>
        <v>0</v>
      </c>
      <c r="I34" s="2" t="s">
        <v>582</v>
      </c>
      <c r="V34" s="475"/>
    </row>
    <row r="35" spans="1:22" ht="4.5" customHeight="1" x14ac:dyDescent="0.25">
      <c r="A35" s="474"/>
      <c r="V35" s="475"/>
    </row>
    <row r="36" spans="1:22" ht="15" x14ac:dyDescent="0.25">
      <c r="A36" s="474"/>
      <c r="D36" s="482" t="s">
        <v>559</v>
      </c>
      <c r="F36" s="502">
        <f>IF(F32=0,0,F53/(F32))</f>
        <v>0.26186715437692243</v>
      </c>
      <c r="H36" s="382"/>
      <c r="V36" s="475"/>
    </row>
    <row r="37" spans="1:22" ht="4.5" customHeight="1" x14ac:dyDescent="0.25">
      <c r="A37" s="474"/>
      <c r="V37" s="475"/>
    </row>
    <row r="38" spans="1:22" ht="15" x14ac:dyDescent="0.25">
      <c r="A38" s="474"/>
      <c r="V38" s="475"/>
    </row>
    <row r="39" spans="1:22" ht="15.95" customHeight="1" x14ac:dyDescent="0.25">
      <c r="A39" s="474"/>
      <c r="B39" s="744" t="s">
        <v>560</v>
      </c>
      <c r="C39" s="744"/>
      <c r="D39" s="744"/>
      <c r="E39" s="744"/>
      <c r="F39" s="744"/>
      <c r="G39" s="744"/>
      <c r="H39" s="744"/>
      <c r="I39" s="744"/>
      <c r="J39" s="744"/>
      <c r="K39" s="744"/>
      <c r="N39" s="739" t="s">
        <v>549</v>
      </c>
      <c r="O39" s="739"/>
      <c r="P39" s="739"/>
      <c r="Q39" s="739"/>
      <c r="R39" s="739"/>
      <c r="S39" s="739"/>
      <c r="T39" s="739"/>
      <c r="U39" s="739"/>
      <c r="V39" s="475"/>
    </row>
    <row r="40" spans="1:22" ht="29.1" customHeight="1" x14ac:dyDescent="0.25">
      <c r="A40" s="474"/>
      <c r="C40" s="745" t="s">
        <v>609</v>
      </c>
      <c r="D40" s="745"/>
      <c r="E40" s="745"/>
      <c r="F40" s="745"/>
      <c r="G40" s="745"/>
      <c r="H40" s="745"/>
      <c r="I40" s="745"/>
      <c r="J40" s="745"/>
      <c r="K40" s="595"/>
      <c r="V40" s="475"/>
    </row>
    <row r="41" spans="1:22" ht="15" x14ac:dyDescent="0.25">
      <c r="A41" s="474"/>
      <c r="D41" s="482" t="s">
        <v>599</v>
      </c>
      <c r="E41" s="482"/>
      <c r="F41" s="503" t="s">
        <v>284</v>
      </c>
      <c r="H41" s="496" t="s">
        <v>613</v>
      </c>
      <c r="J41" s="506">
        <v>20</v>
      </c>
      <c r="K41" s="2" t="s">
        <v>561</v>
      </c>
      <c r="P41" s="2" t="s">
        <v>610</v>
      </c>
      <c r="R41" s="614">
        <f>scénario_1!B9</f>
        <v>0.35</v>
      </c>
      <c r="V41" s="475"/>
    </row>
    <row r="42" spans="1:22" ht="17.25" customHeight="1" x14ac:dyDescent="0.25">
      <c r="A42" s="474"/>
      <c r="D42" s="29"/>
      <c r="H42" s="149"/>
      <c r="R42" s="2" t="s">
        <v>615</v>
      </c>
      <c r="T42" s="2" t="s">
        <v>616</v>
      </c>
      <c r="V42" s="475"/>
    </row>
    <row r="43" spans="1:22" ht="15" x14ac:dyDescent="0.25">
      <c r="A43" s="474"/>
      <c r="D43" s="477" t="s">
        <v>594</v>
      </c>
      <c r="F43" s="504">
        <f>VLOOKUP(F41,Matrices!P5:Q9,2,FALSE)</f>
        <v>30000</v>
      </c>
      <c r="G43" s="505"/>
      <c r="H43" s="496" t="s">
        <v>612</v>
      </c>
      <c r="J43" s="507">
        <v>15</v>
      </c>
      <c r="K43" s="2" t="s">
        <v>561</v>
      </c>
      <c r="P43" s="482" t="s">
        <v>617</v>
      </c>
      <c r="R43" s="591">
        <v>20000</v>
      </c>
      <c r="T43" s="591">
        <f>R43*(1-scénario_1!B9)</f>
        <v>13000</v>
      </c>
      <c r="V43" s="475"/>
    </row>
    <row r="44" spans="1:22" ht="15" x14ac:dyDescent="0.25">
      <c r="A44" s="474"/>
      <c r="D44" s="29"/>
      <c r="E44" s="476"/>
      <c r="F44" s="383"/>
      <c r="G44" s="505"/>
      <c r="H44" s="149"/>
      <c r="L44" s="476"/>
      <c r="P44" s="496" t="s">
        <v>614</v>
      </c>
      <c r="R44" s="585" t="str">
        <f>scénario_1!B6</f>
        <v>Gaz</v>
      </c>
      <c r="T44" s="586" t="s">
        <v>38</v>
      </c>
      <c r="V44" s="475"/>
    </row>
    <row r="45" spans="1:22" ht="15" x14ac:dyDescent="0.25">
      <c r="A45" s="474"/>
      <c r="D45" s="477" t="s">
        <v>608</v>
      </c>
      <c r="F45" s="590">
        <f>IF(F30&gt;F43,F43,F30)</f>
        <v>29600</v>
      </c>
      <c r="G45" s="505"/>
      <c r="H45" s="496" t="s">
        <v>605</v>
      </c>
      <c r="J45" s="613">
        <f>J43*12</f>
        <v>180</v>
      </c>
      <c r="O45" s="482"/>
      <c r="P45" s="482" t="s">
        <v>553</v>
      </c>
      <c r="R45" s="587">
        <f>VLOOKUP(R44,Matrices!K5:L10,2,FALSE)</f>
        <v>0.126</v>
      </c>
      <c r="T45" s="588">
        <f>VLOOKUP(T44,Matrices!K5:L10,2,FALSE)</f>
        <v>0.126</v>
      </c>
      <c r="V45" s="475"/>
    </row>
    <row r="46" spans="1:22" ht="15" x14ac:dyDescent="0.25">
      <c r="A46" s="474"/>
      <c r="D46" s="29"/>
      <c r="E46" s="476"/>
      <c r="H46" s="149"/>
      <c r="L46" s="476"/>
      <c r="O46" s="482"/>
      <c r="P46" s="482" t="s">
        <v>554</v>
      </c>
      <c r="R46" s="592">
        <v>0.05</v>
      </c>
      <c r="T46" s="593">
        <v>0.05</v>
      </c>
      <c r="V46" s="475"/>
    </row>
    <row r="47" spans="1:22" ht="15" x14ac:dyDescent="0.25">
      <c r="A47" s="474"/>
      <c r="D47" s="477" t="s">
        <v>611</v>
      </c>
      <c r="F47" s="590">
        <f>IF(F32&gt;F43,F43,F32)</f>
        <v>24058</v>
      </c>
      <c r="G47" s="509"/>
      <c r="H47" s="496" t="s">
        <v>604</v>
      </c>
      <c r="J47" s="504">
        <f>IF(J43="",0,(F47+J49)/(J43*12))</f>
        <v>143.67972222222221</v>
      </c>
      <c r="L47" s="29"/>
      <c r="P47" s="29" t="s">
        <v>597</v>
      </c>
      <c r="R47" s="594">
        <v>150</v>
      </c>
      <c r="T47" s="594">
        <v>150</v>
      </c>
      <c r="V47" s="475"/>
    </row>
    <row r="48" spans="1:22" ht="5.0999999999999996" customHeight="1" x14ac:dyDescent="0.25">
      <c r="A48" s="474"/>
      <c r="D48" s="29"/>
      <c r="E48" s="29"/>
      <c r="H48" s="149"/>
      <c r="L48" s="29"/>
      <c r="N48" s="383"/>
      <c r="V48" s="475"/>
    </row>
    <row r="49" spans="1:22" ht="15" x14ac:dyDescent="0.25">
      <c r="A49" s="474"/>
      <c r="D49" s="477" t="s">
        <v>564</v>
      </c>
      <c r="F49" s="508">
        <v>5.0000000000000001E-3</v>
      </c>
      <c r="G49" s="509"/>
      <c r="H49" s="496" t="s">
        <v>565</v>
      </c>
      <c r="J49" s="504">
        <f>F47*F49/12*J45</f>
        <v>1804.3500000000001</v>
      </c>
      <c r="L49" s="29"/>
      <c r="V49" s="475"/>
    </row>
    <row r="50" spans="1:22" ht="5.0999999999999996" customHeight="1" x14ac:dyDescent="0.25">
      <c r="A50" s="474"/>
      <c r="D50" s="29"/>
      <c r="E50" s="29"/>
      <c r="L50" s="29"/>
      <c r="N50" s="383"/>
      <c r="V50" s="475"/>
    </row>
    <row r="51" spans="1:22" ht="18.75" x14ac:dyDescent="0.25">
      <c r="A51" s="474"/>
      <c r="B51" s="744" t="s">
        <v>566</v>
      </c>
      <c r="C51" s="744"/>
      <c r="D51" s="744"/>
      <c r="E51" s="744"/>
      <c r="F51" s="744"/>
      <c r="G51" s="744"/>
      <c r="H51" s="744"/>
      <c r="I51" s="744"/>
      <c r="J51" s="744"/>
      <c r="L51" s="29"/>
      <c r="R51" s="492" t="s">
        <v>557</v>
      </c>
      <c r="V51" s="475"/>
    </row>
    <row r="52" spans="1:22" ht="5.0999999999999996" customHeight="1" x14ac:dyDescent="0.25">
      <c r="A52" s="474"/>
      <c r="D52" s="29"/>
      <c r="E52" s="29"/>
      <c r="H52" s="29"/>
      <c r="L52" s="29"/>
      <c r="S52" s="492"/>
      <c r="T52" s="492"/>
      <c r="V52" s="475"/>
    </row>
    <row r="53" spans="1:22" ht="15" outlineLevel="1" x14ac:dyDescent="0.25">
      <c r="A53" s="474"/>
      <c r="D53" s="477" t="s">
        <v>563</v>
      </c>
      <c r="F53" s="510">
        <v>6300</v>
      </c>
      <c r="G53" s="511"/>
      <c r="H53" s="477" t="s">
        <v>567</v>
      </c>
      <c r="J53" s="507">
        <v>10</v>
      </c>
      <c r="K53" s="2" t="s">
        <v>561</v>
      </c>
      <c r="R53" s="477" t="s">
        <v>72</v>
      </c>
      <c r="S53" s="496"/>
      <c r="T53" s="477" t="s">
        <v>75</v>
      </c>
      <c r="U53" s="2" t="s">
        <v>639</v>
      </c>
      <c r="V53" s="475"/>
    </row>
    <row r="54" spans="1:22" ht="15" outlineLevel="1" x14ac:dyDescent="0.25">
      <c r="A54" s="474"/>
      <c r="D54" s="29"/>
      <c r="H54" s="29"/>
      <c r="L54" s="29"/>
      <c r="P54" s="477" t="s">
        <v>637</v>
      </c>
      <c r="Q54" s="477"/>
      <c r="R54" s="498">
        <f>Matrices!G31</f>
        <v>4254.8144594791538</v>
      </c>
      <c r="S54" s="499"/>
      <c r="T54" s="499">
        <f>Matrices!J31</f>
        <v>2818.1293986614496</v>
      </c>
      <c r="U54" s="654">
        <f>(R54-T54)/R54</f>
        <v>0.33766103657398344</v>
      </c>
      <c r="V54" s="475"/>
    </row>
    <row r="55" spans="1:22" ht="15" outlineLevel="1" x14ac:dyDescent="0.25">
      <c r="A55" s="474"/>
      <c r="D55" s="477" t="s">
        <v>569</v>
      </c>
      <c r="F55" s="508">
        <v>5.0000000000000001E-3</v>
      </c>
      <c r="G55" s="509"/>
      <c r="H55" s="29"/>
      <c r="I55" s="477" t="s">
        <v>562</v>
      </c>
      <c r="J55" s="513">
        <f>J53*12</f>
        <v>120</v>
      </c>
      <c r="P55" s="496" t="s">
        <v>638</v>
      </c>
      <c r="Q55" s="477"/>
      <c r="R55" s="498">
        <f>Matrices!G41</f>
        <v>6836.3102169639424</v>
      </c>
      <c r="S55" s="499"/>
      <c r="T55" s="499">
        <f>Matrices!J41</f>
        <v>4496.101641026562</v>
      </c>
      <c r="U55" s="654">
        <f>(R55-T55)/R55</f>
        <v>0.34232041871509522</v>
      </c>
      <c r="V55" s="475"/>
    </row>
    <row r="56" spans="1:22" ht="9.75" customHeight="1" outlineLevel="1" x14ac:dyDescent="0.25">
      <c r="A56" s="474"/>
      <c r="D56" s="29"/>
      <c r="E56" s="29"/>
      <c r="P56" s="496"/>
      <c r="Q56" s="477"/>
      <c r="R56" s="498"/>
      <c r="S56" s="499"/>
      <c r="T56" s="499"/>
      <c r="U56" s="499"/>
      <c r="V56" s="475"/>
    </row>
    <row r="57" spans="1:22" ht="14.45" customHeight="1" outlineLevel="1" x14ac:dyDescent="0.25">
      <c r="A57" s="474"/>
      <c r="D57" s="29"/>
      <c r="E57" s="477" t="s">
        <v>568</v>
      </c>
      <c r="F57" s="508">
        <v>2.1999999999999999E-2</v>
      </c>
      <c r="H57" s="477" t="s">
        <v>570</v>
      </c>
      <c r="J57" s="512">
        <f>'intérêts prêt complémentaire'!D12</f>
        <v>1053.8916666666669</v>
      </c>
      <c r="P57" s="496" t="s">
        <v>600</v>
      </c>
      <c r="Q57" s="477"/>
      <c r="R57" s="498">
        <f>Matrices!I31</f>
        <v>37451.103649062206</v>
      </c>
      <c r="S57" s="499"/>
      <c r="T57" s="499">
        <f>Matrices!L31</f>
        <v>44768.440705223773</v>
      </c>
      <c r="U57" s="499"/>
      <c r="V57" s="475"/>
    </row>
    <row r="58" spans="1:22" ht="15" outlineLevel="1" x14ac:dyDescent="0.25">
      <c r="A58" s="474"/>
      <c r="D58" s="29"/>
      <c r="E58" s="29"/>
      <c r="P58" s="496" t="s">
        <v>601</v>
      </c>
      <c r="Q58" s="477"/>
      <c r="R58" s="498">
        <f>Matrices!I41</f>
        <v>93162.514556242764</v>
      </c>
      <c r="S58" s="499"/>
      <c r="T58" s="499">
        <f>Matrices!L41</f>
        <v>88402.484461557819</v>
      </c>
      <c r="U58" s="499"/>
      <c r="V58" s="475"/>
    </row>
    <row r="59" spans="1:22" ht="18.75" outlineLevel="1" x14ac:dyDescent="0.25">
      <c r="A59" s="474"/>
      <c r="B59" s="744" t="s">
        <v>571</v>
      </c>
      <c r="C59" s="744"/>
      <c r="D59" s="744"/>
      <c r="E59" s="744"/>
      <c r="F59" s="744"/>
      <c r="G59" s="744"/>
      <c r="H59" s="744"/>
      <c r="I59" s="744"/>
      <c r="J59" s="744"/>
      <c r="K59" s="514"/>
      <c r="V59" s="475"/>
    </row>
    <row r="60" spans="1:22" ht="15" outlineLevel="1" x14ac:dyDescent="0.25">
      <c r="A60" s="474"/>
      <c r="D60" s="29"/>
      <c r="E60" s="29"/>
      <c r="V60" s="475"/>
    </row>
    <row r="61" spans="1:22" ht="6" customHeight="1" outlineLevel="1" x14ac:dyDescent="0.25">
      <c r="A61" s="474"/>
      <c r="D61" s="29"/>
      <c r="E61" s="29"/>
      <c r="P61" s="477"/>
      <c r="Q61" s="477"/>
      <c r="V61" s="475"/>
    </row>
    <row r="62" spans="1:22" ht="6" customHeight="1" outlineLevel="1" x14ac:dyDescent="0.25">
      <c r="A62" s="474"/>
      <c r="D62" s="29"/>
      <c r="E62" s="29"/>
      <c r="P62" s="477"/>
      <c r="Q62" s="477"/>
      <c r="V62" s="475"/>
    </row>
    <row r="63" spans="1:22" ht="15" customHeight="1" outlineLevel="1" x14ac:dyDescent="0.3">
      <c r="A63" s="474"/>
      <c r="C63" s="515" t="s">
        <v>636</v>
      </c>
      <c r="D63" s="29"/>
      <c r="E63" s="29"/>
      <c r="P63" s="477"/>
      <c r="Q63" s="477"/>
      <c r="V63" s="475"/>
    </row>
    <row r="64" spans="1:22" ht="15" customHeight="1" outlineLevel="1" x14ac:dyDescent="0.25">
      <c r="A64" s="474"/>
      <c r="D64" s="29"/>
      <c r="E64" s="29"/>
      <c r="V64" s="475"/>
    </row>
    <row r="65" spans="1:22" ht="15" customHeight="1" outlineLevel="1" x14ac:dyDescent="0.25">
      <c r="A65" s="474"/>
      <c r="D65" s="29"/>
      <c r="E65" s="29"/>
      <c r="V65" s="475"/>
    </row>
    <row r="66" spans="1:22" ht="15" customHeight="1" outlineLevel="1" x14ac:dyDescent="0.25">
      <c r="A66" s="474"/>
      <c r="D66" s="29"/>
      <c r="E66" s="29"/>
      <c r="V66" s="475"/>
    </row>
    <row r="67" spans="1:22" ht="15" customHeight="1" outlineLevel="1" x14ac:dyDescent="0.25">
      <c r="A67" s="474"/>
      <c r="D67" s="29"/>
      <c r="E67" s="29"/>
      <c r="V67" s="475"/>
    </row>
    <row r="68" spans="1:22" ht="15" customHeight="1" outlineLevel="1" x14ac:dyDescent="0.25">
      <c r="A68" s="474"/>
      <c r="D68" s="29"/>
      <c r="E68" s="29"/>
      <c r="V68" s="475"/>
    </row>
    <row r="69" spans="1:22" ht="15" customHeight="1" outlineLevel="1" x14ac:dyDescent="0.25">
      <c r="A69" s="474"/>
      <c r="D69" s="29"/>
      <c r="E69" s="29"/>
      <c r="V69" s="475"/>
    </row>
    <row r="70" spans="1:22" ht="15" customHeight="1" outlineLevel="1" x14ac:dyDescent="0.25">
      <c r="A70" s="474"/>
      <c r="D70" s="29"/>
      <c r="E70" s="29"/>
      <c r="V70" s="475"/>
    </row>
    <row r="71" spans="1:22" ht="15" customHeight="1" outlineLevel="1" x14ac:dyDescent="0.25">
      <c r="A71" s="474"/>
      <c r="D71" s="29"/>
      <c r="E71" s="29"/>
      <c r="V71" s="475"/>
    </row>
    <row r="72" spans="1:22" ht="15" customHeight="1" outlineLevel="1" x14ac:dyDescent="0.25">
      <c r="A72" s="474"/>
      <c r="D72" s="29"/>
      <c r="E72" s="29"/>
      <c r="V72" s="475"/>
    </row>
    <row r="73" spans="1:22" ht="15" customHeight="1" outlineLevel="1" x14ac:dyDescent="0.25">
      <c r="A73" s="474"/>
      <c r="D73" s="29"/>
      <c r="E73" s="29"/>
      <c r="V73" s="475"/>
    </row>
    <row r="74" spans="1:22" ht="15" customHeight="1" outlineLevel="1" x14ac:dyDescent="0.25">
      <c r="A74" s="474"/>
      <c r="D74" s="29"/>
      <c r="E74" s="29"/>
      <c r="V74" s="475"/>
    </row>
    <row r="75" spans="1:22" ht="15" customHeight="1" outlineLevel="1" x14ac:dyDescent="0.25">
      <c r="A75" s="474"/>
      <c r="V75" s="475"/>
    </row>
    <row r="76" spans="1:22" ht="15" customHeight="1" outlineLevel="1" x14ac:dyDescent="0.25">
      <c r="A76" s="474"/>
      <c r="V76" s="475"/>
    </row>
    <row r="77" spans="1:22" ht="15" customHeight="1" outlineLevel="1" x14ac:dyDescent="0.25">
      <c r="A77" s="474"/>
      <c r="V77" s="475"/>
    </row>
    <row r="78" spans="1:22" ht="15" customHeight="1" outlineLevel="1" x14ac:dyDescent="0.25">
      <c r="A78" s="474"/>
      <c r="V78" s="475"/>
    </row>
    <row r="79" spans="1:22" ht="18.75" customHeight="1" outlineLevel="1" x14ac:dyDescent="0.25">
      <c r="A79" s="474"/>
      <c r="V79" s="475"/>
    </row>
    <row r="80" spans="1:22" ht="15" outlineLevel="1" x14ac:dyDescent="0.25">
      <c r="A80" s="474"/>
      <c r="V80" s="475"/>
    </row>
    <row r="81" spans="1:22" ht="15" outlineLevel="1" x14ac:dyDescent="0.25">
      <c r="A81" s="474"/>
      <c r="V81" s="475"/>
    </row>
    <row r="82" spans="1:22" ht="18.75" outlineLevel="1" x14ac:dyDescent="0.3">
      <c r="A82" s="474"/>
      <c r="C82" s="515" t="s">
        <v>607</v>
      </c>
      <c r="V82" s="475"/>
    </row>
    <row r="83" spans="1:22" ht="15" outlineLevel="1" x14ac:dyDescent="0.25">
      <c r="A83" s="474"/>
      <c r="V83" s="475"/>
    </row>
    <row r="84" spans="1:22" ht="15" outlineLevel="1" x14ac:dyDescent="0.25">
      <c r="A84" s="474"/>
      <c r="V84" s="475"/>
    </row>
    <row r="85" spans="1:22" ht="15" outlineLevel="1" x14ac:dyDescent="0.25">
      <c r="A85" s="474"/>
      <c r="V85" s="475"/>
    </row>
    <row r="86" spans="1:22" ht="15" outlineLevel="1" x14ac:dyDescent="0.25">
      <c r="A86" s="474"/>
      <c r="V86" s="475"/>
    </row>
    <row r="87" spans="1:22" ht="15" outlineLevel="1" x14ac:dyDescent="0.25">
      <c r="A87" s="474"/>
      <c r="V87" s="475"/>
    </row>
    <row r="88" spans="1:22" ht="15" outlineLevel="1" x14ac:dyDescent="0.25">
      <c r="A88" s="474"/>
      <c r="V88" s="475"/>
    </row>
    <row r="89" spans="1:22" ht="15" outlineLevel="1" x14ac:dyDescent="0.25">
      <c r="A89" s="474"/>
      <c r="V89" s="475"/>
    </row>
    <row r="90" spans="1:22" ht="15" outlineLevel="1" x14ac:dyDescent="0.25">
      <c r="A90" s="474"/>
      <c r="V90" s="475"/>
    </row>
    <row r="91" spans="1:22" ht="15" outlineLevel="1" x14ac:dyDescent="0.25">
      <c r="A91" s="474"/>
      <c r="F91" s="517"/>
      <c r="G91" s="517"/>
      <c r="H91" s="517"/>
      <c r="I91" s="517"/>
      <c r="J91" s="517"/>
      <c r="K91" s="517"/>
      <c r="L91" s="517"/>
      <c r="M91" s="517"/>
      <c r="N91" s="517"/>
      <c r="O91" s="517"/>
      <c r="P91" s="517"/>
      <c r="Q91" s="517"/>
      <c r="R91" s="517"/>
      <c r="S91" s="517"/>
      <c r="T91" s="517"/>
      <c r="U91" s="517"/>
      <c r="V91" s="518"/>
    </row>
    <row r="92" spans="1:22" ht="15" outlineLevel="1" x14ac:dyDescent="0.25">
      <c r="A92" s="474"/>
      <c r="C92" s="517"/>
      <c r="D92" s="517"/>
      <c r="E92" s="517"/>
      <c r="F92" s="517"/>
      <c r="G92" s="517"/>
      <c r="H92" s="517"/>
      <c r="I92" s="517"/>
      <c r="J92" s="517"/>
      <c r="K92" s="517"/>
      <c r="L92" s="517"/>
      <c r="M92" s="517"/>
      <c r="N92" s="517"/>
      <c r="O92" s="517"/>
      <c r="P92" s="517"/>
      <c r="Q92" s="517"/>
      <c r="R92" s="517"/>
      <c r="S92" s="517"/>
      <c r="T92" s="517"/>
      <c r="U92" s="517"/>
      <c r="V92" s="518"/>
    </row>
    <row r="93" spans="1:22" ht="15" outlineLevel="1" x14ac:dyDescent="0.25">
      <c r="A93" s="474"/>
      <c r="C93" s="517"/>
      <c r="D93" s="517"/>
      <c r="E93" s="517"/>
      <c r="F93" s="517"/>
      <c r="G93" s="517"/>
      <c r="H93" s="517"/>
      <c r="I93" s="517"/>
      <c r="J93" s="517"/>
      <c r="K93" s="517"/>
      <c r="L93" s="517"/>
      <c r="M93" s="517"/>
      <c r="N93" s="517"/>
      <c r="O93" s="517"/>
      <c r="P93" s="517"/>
      <c r="Q93" s="517"/>
      <c r="R93" s="517"/>
      <c r="S93" s="517"/>
      <c r="T93" s="517"/>
      <c r="U93" s="517"/>
      <c r="V93" s="518"/>
    </row>
    <row r="94" spans="1:22" ht="15" outlineLevel="1" x14ac:dyDescent="0.25">
      <c r="A94" s="474"/>
      <c r="C94" s="517"/>
      <c r="D94" s="517"/>
      <c r="E94" s="517"/>
      <c r="F94" s="517"/>
      <c r="G94" s="517"/>
      <c r="H94" s="517"/>
      <c r="I94" s="517"/>
      <c r="J94" s="517"/>
      <c r="K94" s="517"/>
      <c r="L94" s="517"/>
      <c r="M94" s="517"/>
      <c r="N94" s="517"/>
      <c r="O94" s="517"/>
      <c r="P94" s="517"/>
      <c r="Q94" s="517"/>
      <c r="R94" s="517"/>
      <c r="S94" s="517"/>
      <c r="T94" s="517"/>
      <c r="U94" s="517"/>
      <c r="V94" s="518"/>
    </row>
    <row r="95" spans="1:22" ht="15" outlineLevel="1" x14ac:dyDescent="0.25">
      <c r="A95" s="516"/>
      <c r="B95" s="517"/>
      <c r="C95" s="517"/>
      <c r="D95" s="517"/>
      <c r="E95" s="517"/>
      <c r="F95" s="517"/>
      <c r="G95" s="517"/>
      <c r="H95" s="517"/>
      <c r="I95" s="517"/>
      <c r="J95" s="517"/>
      <c r="K95" s="517"/>
      <c r="L95" s="517"/>
      <c r="M95" s="517"/>
      <c r="N95" s="517"/>
      <c r="O95" s="517"/>
      <c r="P95" s="517"/>
      <c r="Q95" s="517"/>
      <c r="R95" s="517"/>
      <c r="S95" s="517"/>
      <c r="T95" s="517"/>
      <c r="U95" s="517"/>
      <c r="V95" s="518"/>
    </row>
    <row r="96" spans="1:22" ht="15" outlineLevel="1" x14ac:dyDescent="0.25">
      <c r="A96" s="516"/>
      <c r="B96" s="517"/>
      <c r="C96" s="517"/>
      <c r="D96" s="517"/>
      <c r="E96" s="517"/>
      <c r="F96" s="517"/>
      <c r="G96" s="517"/>
      <c r="H96" s="517"/>
      <c r="I96" s="517"/>
      <c r="J96" s="517"/>
      <c r="K96" s="517"/>
      <c r="L96" s="517"/>
      <c r="M96" s="517"/>
      <c r="N96" s="517"/>
      <c r="O96" s="517"/>
      <c r="P96" s="517"/>
      <c r="Q96" s="517"/>
      <c r="R96" s="517"/>
      <c r="S96" s="517"/>
      <c r="T96" s="517"/>
      <c r="U96" s="517"/>
      <c r="V96" s="518"/>
    </row>
    <row r="97" spans="1:22" ht="15" outlineLevel="1" x14ac:dyDescent="0.25">
      <c r="A97" s="516"/>
      <c r="B97" s="517"/>
      <c r="C97" s="517"/>
      <c r="D97" s="517"/>
      <c r="E97" s="517"/>
      <c r="F97" s="517"/>
      <c r="G97" s="517"/>
      <c r="H97" s="517"/>
      <c r="I97" s="517"/>
      <c r="J97" s="517"/>
      <c r="K97" s="517"/>
      <c r="L97" s="517"/>
      <c r="M97" s="517"/>
      <c r="N97" s="517"/>
      <c r="O97" s="517"/>
      <c r="P97" s="517"/>
      <c r="Q97" s="517"/>
      <c r="R97" s="517"/>
      <c r="S97" s="517"/>
      <c r="T97" s="517"/>
      <c r="U97" s="517"/>
      <c r="V97" s="518"/>
    </row>
    <row r="98" spans="1:22" ht="15" outlineLevel="1" x14ac:dyDescent="0.25">
      <c r="A98" s="516"/>
      <c r="B98" s="517"/>
      <c r="C98" s="517"/>
      <c r="D98" s="517"/>
      <c r="E98" s="517"/>
      <c r="F98" s="517"/>
      <c r="G98" s="517"/>
      <c r="H98" s="517"/>
      <c r="I98" s="517"/>
      <c r="J98" s="517"/>
      <c r="K98" s="517"/>
      <c r="L98" s="517"/>
      <c r="M98" s="517"/>
      <c r="N98" s="517"/>
      <c r="O98" s="517"/>
      <c r="P98" s="517"/>
      <c r="Q98" s="517"/>
      <c r="R98" s="517"/>
      <c r="S98" s="517"/>
      <c r="T98" s="517"/>
      <c r="U98" s="517"/>
      <c r="V98" s="518"/>
    </row>
    <row r="99" spans="1:22" ht="15" outlineLevel="1" x14ac:dyDescent="0.25">
      <c r="A99" s="516"/>
      <c r="B99" s="517"/>
      <c r="C99" s="517"/>
      <c r="D99" s="517"/>
      <c r="E99" s="517"/>
      <c r="F99" s="517"/>
      <c r="G99" s="517"/>
      <c r="H99" s="517"/>
      <c r="I99" s="517"/>
      <c r="J99" s="517"/>
      <c r="K99" s="517"/>
      <c r="L99" s="517"/>
      <c r="M99" s="517"/>
      <c r="N99" s="517"/>
      <c r="O99" s="517"/>
      <c r="P99" s="517"/>
      <c r="Q99" s="517"/>
      <c r="R99" s="517"/>
      <c r="S99" s="517"/>
      <c r="T99" s="517"/>
      <c r="U99" s="517"/>
      <c r="V99" s="518"/>
    </row>
    <row r="100" spans="1:22" ht="15" outlineLevel="1" x14ac:dyDescent="0.25">
      <c r="A100" s="516"/>
      <c r="B100" s="517"/>
      <c r="C100" s="517"/>
      <c r="D100" s="517"/>
      <c r="E100" s="517"/>
      <c r="F100" s="517"/>
      <c r="G100" s="517"/>
      <c r="H100" s="517"/>
      <c r="I100" s="517"/>
      <c r="J100" s="517"/>
      <c r="K100" s="517"/>
      <c r="L100" s="517"/>
      <c r="M100" s="517"/>
      <c r="N100" s="517"/>
      <c r="O100" s="517"/>
      <c r="P100" s="517"/>
      <c r="Q100" s="517"/>
      <c r="R100" s="517"/>
      <c r="S100" s="517"/>
      <c r="T100" s="517"/>
      <c r="U100" s="517"/>
      <c r="V100" s="518"/>
    </row>
    <row r="101" spans="1:22" ht="15" outlineLevel="1" x14ac:dyDescent="0.25">
      <c r="A101" s="516"/>
      <c r="B101" s="517"/>
      <c r="C101" s="517"/>
      <c r="D101" s="517"/>
      <c r="E101" s="517"/>
      <c r="F101" s="517"/>
      <c r="G101" s="517"/>
      <c r="H101" s="517"/>
      <c r="I101" s="517"/>
      <c r="J101" s="517"/>
      <c r="K101" s="517"/>
      <c r="L101" s="517"/>
      <c r="M101" s="517"/>
      <c r="N101" s="517"/>
      <c r="O101" s="517"/>
      <c r="P101" s="517"/>
      <c r="Q101" s="517"/>
      <c r="R101" s="517"/>
      <c r="S101" s="517"/>
      <c r="T101" s="517"/>
      <c r="U101" s="517"/>
      <c r="V101" s="518"/>
    </row>
    <row r="102" spans="1:22" ht="15" outlineLevel="1" x14ac:dyDescent="0.25">
      <c r="A102" s="516"/>
      <c r="B102" s="517"/>
      <c r="C102" s="517"/>
      <c r="D102" s="517"/>
      <c r="E102" s="517"/>
      <c r="F102" s="517"/>
      <c r="G102" s="517"/>
      <c r="H102" s="517"/>
      <c r="I102" s="517"/>
      <c r="J102" s="517"/>
      <c r="K102" s="517"/>
      <c r="L102" s="517"/>
      <c r="M102" s="517"/>
      <c r="N102" s="517"/>
      <c r="O102" s="517"/>
      <c r="P102" s="517"/>
      <c r="Q102" s="517"/>
      <c r="R102" s="517"/>
      <c r="S102" s="517"/>
      <c r="T102" s="517"/>
      <c r="U102" s="517"/>
      <c r="V102" s="518"/>
    </row>
    <row r="103" spans="1:22" ht="15" outlineLevel="1" x14ac:dyDescent="0.25">
      <c r="A103" s="516"/>
      <c r="B103" s="517"/>
      <c r="C103" s="517"/>
      <c r="D103" s="517"/>
      <c r="E103" s="517"/>
      <c r="F103" s="517"/>
      <c r="G103" s="517"/>
      <c r="H103" s="517"/>
      <c r="I103" s="517"/>
      <c r="J103" s="517"/>
      <c r="K103" s="517"/>
      <c r="L103" s="517"/>
      <c r="M103" s="517"/>
      <c r="N103" s="517"/>
      <c r="O103" s="517"/>
      <c r="P103" s="517"/>
      <c r="Q103" s="517"/>
      <c r="R103" s="517"/>
      <c r="S103" s="517"/>
      <c r="T103" s="517"/>
      <c r="U103" s="517"/>
      <c r="V103" s="518"/>
    </row>
    <row r="104" spans="1:22" ht="15" outlineLevel="1" x14ac:dyDescent="0.25">
      <c r="A104" s="516"/>
      <c r="B104" s="517"/>
      <c r="C104" s="517"/>
      <c r="D104" s="517"/>
      <c r="E104" s="517"/>
      <c r="F104" s="517"/>
      <c r="G104" s="517"/>
      <c r="H104" s="517"/>
      <c r="I104" s="517"/>
      <c r="J104" s="517"/>
      <c r="K104" s="517"/>
      <c r="L104" s="517"/>
      <c r="M104" s="517"/>
      <c r="N104" s="517"/>
      <c r="O104" s="517"/>
      <c r="P104" s="517"/>
      <c r="Q104" s="517"/>
      <c r="R104" s="517"/>
      <c r="S104" s="517"/>
      <c r="T104" s="517"/>
      <c r="U104" s="517"/>
      <c r="V104" s="518"/>
    </row>
    <row r="105" spans="1:22" ht="15" outlineLevel="1" x14ac:dyDescent="0.25">
      <c r="A105" s="516"/>
      <c r="B105" s="517"/>
      <c r="C105" s="517"/>
      <c r="D105" s="517"/>
      <c r="E105" s="517"/>
      <c r="F105" s="517"/>
      <c r="G105" s="517"/>
      <c r="H105" s="517"/>
      <c r="I105" s="517"/>
      <c r="J105" s="517"/>
      <c r="K105" s="517"/>
      <c r="L105" s="517"/>
      <c r="M105" s="517"/>
      <c r="N105" s="517"/>
      <c r="O105" s="517"/>
      <c r="P105" s="517"/>
      <c r="Q105" s="517"/>
      <c r="R105" s="517"/>
      <c r="S105" s="517"/>
      <c r="T105" s="517"/>
      <c r="U105" s="517"/>
      <c r="V105" s="518"/>
    </row>
    <row r="106" spans="1:22" ht="15" outlineLevel="1" x14ac:dyDescent="0.25">
      <c r="A106" s="516"/>
      <c r="B106" s="517"/>
      <c r="C106" s="517"/>
      <c r="D106" s="517"/>
      <c r="E106" s="517"/>
      <c r="F106" s="517"/>
      <c r="G106" s="517"/>
      <c r="H106" s="517"/>
      <c r="I106" s="517"/>
      <c r="J106" s="517"/>
      <c r="K106" s="517"/>
      <c r="L106" s="517"/>
      <c r="M106" s="517"/>
      <c r="N106" s="517"/>
      <c r="O106" s="517"/>
      <c r="P106" s="517"/>
      <c r="Q106" s="517"/>
      <c r="R106" s="517"/>
      <c r="S106" s="517"/>
      <c r="T106" s="517"/>
      <c r="U106" s="517"/>
      <c r="V106" s="518"/>
    </row>
    <row r="107" spans="1:22" ht="18.75" x14ac:dyDescent="0.3">
      <c r="A107" s="516"/>
      <c r="B107" s="517"/>
      <c r="C107" s="515"/>
      <c r="V107" s="475"/>
    </row>
    <row r="108" spans="1:22" ht="15" x14ac:dyDescent="0.25">
      <c r="A108" s="516"/>
      <c r="B108" s="517"/>
      <c r="V108" s="475"/>
    </row>
    <row r="109" spans="1:22" ht="15" x14ac:dyDescent="0.25">
      <c r="A109" s="516"/>
      <c r="B109" s="517"/>
      <c r="V109" s="475"/>
    </row>
    <row r="110" spans="1:22" ht="15" x14ac:dyDescent="0.25">
      <c r="A110" s="516"/>
      <c r="B110" s="517"/>
      <c r="V110" s="475"/>
    </row>
    <row r="111" spans="1:22" ht="15" x14ac:dyDescent="0.25">
      <c r="A111" s="474"/>
      <c r="V111" s="475"/>
    </row>
    <row r="112" spans="1:22" ht="15" x14ac:dyDescent="0.25">
      <c r="A112" s="474"/>
      <c r="V112" s="475"/>
    </row>
    <row r="113" spans="1:22" ht="15" x14ac:dyDescent="0.25">
      <c r="A113" s="474"/>
      <c r="V113" s="475"/>
    </row>
    <row r="114" spans="1:22" ht="15" x14ac:dyDescent="0.25">
      <c r="A114" s="474"/>
      <c r="V114" s="475"/>
    </row>
    <row r="115" spans="1:22" ht="15" x14ac:dyDescent="0.25">
      <c r="A115" s="474"/>
      <c r="V115" s="475"/>
    </row>
    <row r="116" spans="1:22" ht="15" x14ac:dyDescent="0.25">
      <c r="A116" s="474"/>
      <c r="V116" s="475"/>
    </row>
    <row r="117" spans="1:22" ht="15" x14ac:dyDescent="0.25">
      <c r="A117" s="474"/>
      <c r="V117" s="475"/>
    </row>
    <row r="118" spans="1:22" ht="15" x14ac:dyDescent="0.25">
      <c r="A118" s="474"/>
      <c r="V118" s="475"/>
    </row>
    <row r="119" spans="1:22" ht="15" x14ac:dyDescent="0.25">
      <c r="A119" s="474"/>
      <c r="V119" s="475"/>
    </row>
    <row r="120" spans="1:22" ht="15" x14ac:dyDescent="0.25">
      <c r="A120" s="474"/>
      <c r="V120" s="475"/>
    </row>
    <row r="121" spans="1:22" ht="15" x14ac:dyDescent="0.25">
      <c r="A121" s="474"/>
      <c r="V121" s="475"/>
    </row>
    <row r="122" spans="1:22" ht="15" x14ac:dyDescent="0.25">
      <c r="A122" s="474"/>
      <c r="V122" s="475"/>
    </row>
    <row r="123" spans="1:22" ht="15" hidden="1" x14ac:dyDescent="0.25">
      <c r="A123" s="474"/>
      <c r="V123" s="475"/>
    </row>
    <row r="124" spans="1:22" ht="15" hidden="1" x14ac:dyDescent="0.25">
      <c r="A124" s="474"/>
      <c r="V124" s="475"/>
    </row>
    <row r="125" spans="1:22" ht="15" hidden="1" x14ac:dyDescent="0.25">
      <c r="A125" s="474"/>
      <c r="V125" s="475"/>
    </row>
    <row r="126" spans="1:22" ht="15" hidden="1" x14ac:dyDescent="0.25">
      <c r="A126" s="474"/>
      <c r="V126" s="475"/>
    </row>
    <row r="127" spans="1:22" ht="15" hidden="1" x14ac:dyDescent="0.25">
      <c r="A127" s="474"/>
      <c r="V127" s="475"/>
    </row>
    <row r="128" spans="1:22" ht="15" hidden="1" x14ac:dyDescent="0.25">
      <c r="A128" s="474"/>
      <c r="V128" s="475"/>
    </row>
    <row r="129" spans="1:22" ht="15" hidden="1" x14ac:dyDescent="0.25">
      <c r="A129" s="474"/>
      <c r="V129" s="475"/>
    </row>
    <row r="130" spans="1:22" ht="15" x14ac:dyDescent="0.25">
      <c r="A130" s="474"/>
      <c r="V130" s="475"/>
    </row>
    <row r="131" spans="1:22" ht="15" x14ac:dyDescent="0.25">
      <c r="A131" s="474"/>
      <c r="V131" s="475"/>
    </row>
    <row r="132" spans="1:22" ht="15" x14ac:dyDescent="0.25">
      <c r="A132" s="474"/>
      <c r="V132" s="475"/>
    </row>
    <row r="133" spans="1:22" ht="15" x14ac:dyDescent="0.25">
      <c r="A133" s="474"/>
      <c r="V133" s="475"/>
    </row>
    <row r="134" spans="1:22" ht="15" x14ac:dyDescent="0.25">
      <c r="A134" s="474"/>
      <c r="V134" s="475"/>
    </row>
    <row r="135" spans="1:22" ht="15" hidden="1" x14ac:dyDescent="0.25">
      <c r="A135" s="474"/>
      <c r="V135" s="475"/>
    </row>
    <row r="136" spans="1:22" ht="15" hidden="1" x14ac:dyDescent="0.25">
      <c r="A136" s="474"/>
      <c r="V136" s="475"/>
    </row>
    <row r="137" spans="1:22" ht="15" hidden="1" x14ac:dyDescent="0.25">
      <c r="A137" s="474"/>
      <c r="V137" s="475"/>
    </row>
    <row r="138" spans="1:22" ht="15" hidden="1" x14ac:dyDescent="0.25">
      <c r="A138" s="474"/>
      <c r="V138" s="475"/>
    </row>
    <row r="139" spans="1:22" ht="15" hidden="1" x14ac:dyDescent="0.25">
      <c r="A139" s="474"/>
      <c r="V139" s="475"/>
    </row>
    <row r="140" spans="1:22" ht="15" hidden="1" x14ac:dyDescent="0.25">
      <c r="A140" s="474"/>
      <c r="V140" s="475"/>
    </row>
    <row r="141" spans="1:22" ht="15" hidden="1" x14ac:dyDescent="0.25">
      <c r="A141" s="474"/>
      <c r="V141" s="475"/>
    </row>
    <row r="142" spans="1:22" ht="15" hidden="1" x14ac:dyDescent="0.25">
      <c r="A142" s="474"/>
      <c r="V142" s="475"/>
    </row>
    <row r="143" spans="1:22" ht="15" hidden="1" x14ac:dyDescent="0.25">
      <c r="A143" s="474"/>
      <c r="V143" s="475"/>
    </row>
    <row r="144" spans="1:22" ht="15" hidden="1" x14ac:dyDescent="0.25">
      <c r="A144" s="474"/>
      <c r="V144" s="475"/>
    </row>
    <row r="145" spans="1:22" ht="15" hidden="1" x14ac:dyDescent="0.25">
      <c r="A145" s="474"/>
      <c r="V145" s="475"/>
    </row>
    <row r="146" spans="1:22" ht="15" hidden="1" x14ac:dyDescent="0.25">
      <c r="A146" s="474"/>
      <c r="V146" s="475"/>
    </row>
    <row r="147" spans="1:22" ht="15" hidden="1" x14ac:dyDescent="0.25">
      <c r="A147" s="474"/>
      <c r="V147" s="475"/>
    </row>
    <row r="148" spans="1:22" ht="15" hidden="1" x14ac:dyDescent="0.25">
      <c r="A148" s="474"/>
      <c r="V148" s="475"/>
    </row>
    <row r="149" spans="1:22" ht="15" hidden="1" x14ac:dyDescent="0.25">
      <c r="A149" s="474"/>
      <c r="V149" s="475"/>
    </row>
    <row r="150" spans="1:22" ht="15" hidden="1" x14ac:dyDescent="0.25">
      <c r="A150" s="474"/>
      <c r="V150" s="475"/>
    </row>
    <row r="151" spans="1:22" ht="15" hidden="1" x14ac:dyDescent="0.25">
      <c r="A151" s="474"/>
      <c r="V151" s="475"/>
    </row>
    <row r="152" spans="1:22" ht="15" hidden="1" x14ac:dyDescent="0.25">
      <c r="A152" s="474"/>
      <c r="V152" s="475"/>
    </row>
    <row r="153" spans="1:22" ht="15" hidden="1" x14ac:dyDescent="0.25">
      <c r="A153" s="474"/>
      <c r="V153" s="475"/>
    </row>
    <row r="154" spans="1:22" ht="15" hidden="1" x14ac:dyDescent="0.25">
      <c r="A154" s="474"/>
      <c r="V154" s="475"/>
    </row>
    <row r="155" spans="1:22" ht="15" hidden="1" x14ac:dyDescent="0.25">
      <c r="A155" s="474"/>
      <c r="V155" s="475"/>
    </row>
    <row r="156" spans="1:22" ht="15" hidden="1" x14ac:dyDescent="0.25">
      <c r="A156" s="474"/>
      <c r="V156" s="475"/>
    </row>
    <row r="157" spans="1:22" ht="15" hidden="1" x14ac:dyDescent="0.25">
      <c r="A157" s="474"/>
      <c r="V157" s="475"/>
    </row>
    <row r="158" spans="1:22" ht="15" hidden="1" x14ac:dyDescent="0.25">
      <c r="A158" s="474"/>
      <c r="V158" s="475"/>
    </row>
    <row r="159" spans="1:22" ht="15" hidden="1" x14ac:dyDescent="0.25">
      <c r="A159" s="474"/>
      <c r="V159" s="475"/>
    </row>
    <row r="160" spans="1:22" ht="15" hidden="1" x14ac:dyDescent="0.25">
      <c r="A160" s="474"/>
      <c r="V160" s="475"/>
    </row>
    <row r="161" spans="1:22" ht="15.75" hidden="1" thickBot="1" x14ac:dyDescent="0.3">
      <c r="A161" s="474"/>
      <c r="C161" s="520"/>
      <c r="D161" s="520"/>
      <c r="E161" s="520"/>
      <c r="F161" s="520"/>
      <c r="G161" s="520"/>
      <c r="H161" s="520"/>
      <c r="I161" s="520"/>
      <c r="J161" s="520"/>
      <c r="K161" s="520"/>
      <c r="L161" s="520"/>
      <c r="M161" s="520"/>
      <c r="N161" s="520"/>
      <c r="O161" s="520"/>
      <c r="P161" s="520"/>
      <c r="Q161" s="520"/>
      <c r="R161" s="520"/>
      <c r="S161" s="520"/>
      <c r="T161" s="520"/>
      <c r="U161" s="520"/>
      <c r="V161" s="521"/>
    </row>
    <row r="162" spans="1:22" ht="15" hidden="1" x14ac:dyDescent="0.25">
      <c r="A162" s="474"/>
      <c r="C162" s="522"/>
      <c r="D162" s="522"/>
      <c r="E162" s="522"/>
      <c r="F162" s="522"/>
      <c r="G162" s="522"/>
      <c r="H162" s="522"/>
      <c r="I162" s="522"/>
      <c r="J162" s="522"/>
      <c r="K162" s="522"/>
      <c r="L162" s="522"/>
      <c r="M162" s="522"/>
      <c r="N162" s="522"/>
      <c r="O162" s="522"/>
      <c r="P162" s="522"/>
      <c r="Q162" s="522"/>
      <c r="R162" s="522"/>
      <c r="S162" s="522"/>
      <c r="T162" s="522"/>
      <c r="U162" s="522"/>
      <c r="V162" s="522"/>
    </row>
    <row r="163" spans="1:22" s="522" customFormat="1" ht="15" hidden="1" x14ac:dyDescent="0.25">
      <c r="A163" s="474"/>
      <c r="B163" s="2"/>
    </row>
    <row r="164" spans="1:22" s="522" customFormat="1" ht="15" hidden="1" x14ac:dyDescent="0.25">
      <c r="A164" s="474"/>
      <c r="B164" s="2"/>
    </row>
    <row r="165" spans="1:22" s="522" customFormat="1" ht="15.75" thickBot="1" x14ac:dyDescent="0.3">
      <c r="A165" s="519"/>
      <c r="B165" s="2"/>
    </row>
    <row r="166" spans="1:22" s="522" customFormat="1" ht="15" hidden="1" x14ac:dyDescent="0.25"/>
    <row r="167" spans="1:22" s="522" customFormat="1" ht="15" hidden="1" x14ac:dyDescent="0.25"/>
    <row r="168" spans="1:22" s="522" customFormat="1" ht="15" hidden="1" x14ac:dyDescent="0.25"/>
    <row r="169" spans="1:22" s="522" customFormat="1" ht="15" hidden="1" x14ac:dyDescent="0.25">
      <c r="C169" s="2"/>
      <c r="D169" s="2"/>
      <c r="E169" s="2"/>
      <c r="F169" s="2"/>
      <c r="G169" s="2"/>
      <c r="H169" s="2"/>
      <c r="I169" s="2"/>
      <c r="J169" s="2"/>
      <c r="K169" s="2"/>
      <c r="L169" s="2"/>
      <c r="M169" s="2"/>
      <c r="N169" s="2"/>
      <c r="O169" s="2"/>
      <c r="P169" s="2"/>
      <c r="Q169" s="2"/>
      <c r="R169" s="2"/>
      <c r="S169" s="2"/>
      <c r="T169" s="2"/>
      <c r="U169" s="2"/>
      <c r="V169" s="2"/>
    </row>
    <row r="170" spans="1:22" ht="15" hidden="1" x14ac:dyDescent="0.25">
      <c r="A170" s="522"/>
      <c r="B170" s="522"/>
    </row>
    <row r="171" spans="1:22" ht="15" hidden="1" x14ac:dyDescent="0.25">
      <c r="A171" s="522"/>
      <c r="B171" s="522"/>
    </row>
    <row r="172" spans="1:22" ht="15" hidden="1" x14ac:dyDescent="0.25">
      <c r="A172" s="522"/>
      <c r="B172" s="522"/>
    </row>
    <row r="173" spans="1:22" ht="14.45" customHeight="1" x14ac:dyDescent="0.25"/>
    <row r="174" spans="1:22" ht="14.45" customHeight="1" x14ac:dyDescent="0.25"/>
    <row r="175" spans="1:22" ht="14.45" customHeight="1" x14ac:dyDescent="0.25"/>
    <row r="176" spans="1:22"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sheetData>
  <sheetProtection selectLockedCells="1"/>
  <autoFilter ref="J15:J26" xr:uid="{6498CC85-5FEC-4115-BFB3-914591E32F54}">
    <filterColumn colId="0">
      <filters blank="1">
        <filter val="Oui"/>
      </filters>
    </filterColumn>
  </autoFilter>
  <mergeCells count="13">
    <mergeCell ref="B51:J51"/>
    <mergeCell ref="B59:J59"/>
    <mergeCell ref="C40:J40"/>
    <mergeCell ref="B5:J5"/>
    <mergeCell ref="H7:J7"/>
    <mergeCell ref="B7:C7"/>
    <mergeCell ref="D7:G7"/>
    <mergeCell ref="N39:U39"/>
    <mergeCell ref="F15:F16"/>
    <mergeCell ref="H15:H16"/>
    <mergeCell ref="J15:J16"/>
    <mergeCell ref="B13:K13"/>
    <mergeCell ref="B39:K39"/>
  </mergeCells>
  <conditionalFormatting sqref="F17:F26">
    <cfRule type="expression" dxfId="0" priority="1">
      <formula>IF(J17="Non",TRUE,FALSE)</formula>
    </cfRule>
  </conditionalFormatting>
  <pageMargins left="0.25" right="0.25" top="0.75" bottom="0.75" header="0.3" footer="0.3"/>
  <pageSetup paperSize="9" scale="42" fitToHeight="0" orientation="portrait" r:id="rId1"/>
  <ignoredErrors>
    <ignoredError sqref="F4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71E12AD-2A7C-4342-BB58-D7DCA97A1476}">
          <x14:formula1>
            <xm:f>Matrices!$E$5:$E$6</xm:f>
          </x14:formula1>
          <xm:sqref>J17:J26</xm:sqref>
        </x14:dataValidation>
        <x14:dataValidation type="list" allowBlank="1" showInputMessage="1" showErrorMessage="1" xr:uid="{6CDF3773-0F29-4331-B960-D08C3A1CF1D7}">
          <x14:formula1>
            <xm:f>Matrices!$K$5:$K$10</xm:f>
          </x14:formula1>
          <xm:sqref>T44</xm:sqref>
        </x14:dataValidation>
        <x14:dataValidation type="list" allowBlank="1" showInputMessage="1" showErrorMessage="1" xr:uid="{D09B079E-6372-4071-9383-29CE8B1A4C4B}">
          <x14:formula1>
            <xm:f>Matrices!$P$5:$P$9</xm:f>
          </x14:formula1>
          <xm:sqref>F41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D75E-649B-4315-8EBB-72E3209805BD}">
  <dimension ref="B2:J13"/>
  <sheetViews>
    <sheetView workbookViewId="0">
      <selection activeCell="B3" sqref="B3:C4"/>
    </sheetView>
  </sheetViews>
  <sheetFormatPr baseColWidth="10" defaultRowHeight="15" x14ac:dyDescent="0.25"/>
  <cols>
    <col min="3" max="3" width="21.5703125" customWidth="1"/>
    <col min="4" max="4" width="28.85546875" customWidth="1"/>
    <col min="5" max="5" width="18.42578125" customWidth="1"/>
    <col min="8" max="8" width="22.140625" customWidth="1"/>
    <col min="9" max="9" width="19.85546875" customWidth="1"/>
    <col min="10" max="10" width="18.85546875" customWidth="1"/>
  </cols>
  <sheetData>
    <row r="2" spans="2:10" x14ac:dyDescent="0.25">
      <c r="B2" s="753" t="s">
        <v>656</v>
      </c>
      <c r="C2" s="753"/>
      <c r="D2" s="753"/>
      <c r="E2" s="753"/>
    </row>
    <row r="3" spans="2:10" ht="30" customHeight="1" x14ac:dyDescent="0.25">
      <c r="B3" s="748" t="s">
        <v>534</v>
      </c>
      <c r="C3" s="749"/>
      <c r="D3" s="447" t="s">
        <v>497</v>
      </c>
      <c r="E3" s="448"/>
    </row>
    <row r="4" spans="2:10" ht="45" x14ac:dyDescent="0.25">
      <c r="B4" s="750"/>
      <c r="C4" s="751"/>
      <c r="D4" s="449" t="s">
        <v>504</v>
      </c>
      <c r="E4" s="449" t="s">
        <v>505</v>
      </c>
    </row>
    <row r="5" spans="2:10" x14ac:dyDescent="0.25">
      <c r="B5" s="450" t="s">
        <v>530</v>
      </c>
      <c r="C5" s="449" t="s">
        <v>506</v>
      </c>
      <c r="D5" s="449" t="s">
        <v>507</v>
      </c>
      <c r="E5" s="449" t="s">
        <v>509</v>
      </c>
    </row>
    <row r="6" spans="2:10" x14ac:dyDescent="0.25">
      <c r="B6" s="450" t="s">
        <v>530</v>
      </c>
      <c r="C6" s="450" t="s">
        <v>498</v>
      </c>
      <c r="D6" s="450" t="s">
        <v>508</v>
      </c>
      <c r="E6" s="450" t="s">
        <v>510</v>
      </c>
    </row>
    <row r="7" spans="2:10" x14ac:dyDescent="0.25">
      <c r="B7" s="464" t="s">
        <v>531</v>
      </c>
      <c r="C7" s="464" t="s">
        <v>532</v>
      </c>
      <c r="D7" s="752" t="s">
        <v>533</v>
      </c>
      <c r="E7" s="752"/>
      <c r="G7" s="451"/>
      <c r="H7" s="451"/>
      <c r="I7" s="451"/>
      <c r="J7" s="451"/>
    </row>
    <row r="8" spans="2:10" x14ac:dyDescent="0.25">
      <c r="B8" s="451"/>
      <c r="C8" s="451"/>
      <c r="D8" s="463"/>
      <c r="E8" s="463"/>
      <c r="G8" s="451"/>
      <c r="H8" s="451"/>
      <c r="I8" s="451"/>
      <c r="J8" s="451"/>
    </row>
    <row r="9" spans="2:10" ht="60" x14ac:dyDescent="0.25">
      <c r="C9" s="451" t="s">
        <v>511</v>
      </c>
      <c r="D9" s="452" t="s">
        <v>512</v>
      </c>
    </row>
    <row r="11" spans="2:10" x14ac:dyDescent="0.25">
      <c r="C11" s="453"/>
    </row>
    <row r="12" spans="2:10" x14ac:dyDescent="0.25">
      <c r="C12" s="451"/>
    </row>
    <row r="13" spans="2:10" x14ac:dyDescent="0.25">
      <c r="C13" s="451"/>
    </row>
  </sheetData>
  <mergeCells count="3">
    <mergeCell ref="B3:C4"/>
    <mergeCell ref="D7:E7"/>
    <mergeCell ref="B2:E2"/>
  </mergeCells>
  <hyperlinks>
    <hyperlink ref="D9" r:id="rId1" xr:uid="{88BF16B4-6FD6-4690-99D4-949F583E7DAF}"/>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4244-D9A7-4647-BB32-5C896F3ECD83}">
  <dimension ref="C1:L301"/>
  <sheetViews>
    <sheetView workbookViewId="0">
      <selection activeCell="D12" sqref="D12"/>
    </sheetView>
  </sheetViews>
  <sheetFormatPr baseColWidth="10" defaultRowHeight="15" x14ac:dyDescent="0.25"/>
  <cols>
    <col min="3" max="3" width="17.140625" bestFit="1" customWidth="1"/>
    <col min="8" max="8" width="15.42578125" bestFit="1" customWidth="1"/>
    <col min="9" max="9" width="16.140625" bestFit="1" customWidth="1"/>
    <col min="10" max="10" width="11" bestFit="1" customWidth="1"/>
    <col min="11" max="11" width="11.85546875" bestFit="1" customWidth="1"/>
    <col min="12" max="12" width="18.140625" bestFit="1" customWidth="1"/>
  </cols>
  <sheetData>
    <row r="1" spans="3:12" x14ac:dyDescent="0.25">
      <c r="F1" s="1" t="s">
        <v>653</v>
      </c>
      <c r="G1" s="1" t="s">
        <v>652</v>
      </c>
      <c r="H1" s="1" t="s">
        <v>646</v>
      </c>
      <c r="I1" s="1" t="s">
        <v>647</v>
      </c>
      <c r="J1" s="1" t="s">
        <v>643</v>
      </c>
      <c r="K1" s="1" t="s">
        <v>650</v>
      </c>
      <c r="L1" s="1" t="s">
        <v>651</v>
      </c>
    </row>
    <row r="2" spans="3:12" x14ac:dyDescent="0.25">
      <c r="F2">
        <f>QUOTIENT(G2,12)</f>
        <v>0</v>
      </c>
      <c r="G2">
        <v>1</v>
      </c>
      <c r="H2" s="655">
        <v>200000</v>
      </c>
      <c r="I2" s="655">
        <f>G2*$D$9</f>
        <v>164.44444444444446</v>
      </c>
      <c r="J2" s="655">
        <f>H2*$D$11</f>
        <v>83.333333333333343</v>
      </c>
      <c r="K2" s="655">
        <f>SUM($J$2:J2)</f>
        <v>83.333333333333343</v>
      </c>
      <c r="L2" s="655">
        <f>I2+K2</f>
        <v>247.7777777777778</v>
      </c>
    </row>
    <row r="3" spans="3:12" x14ac:dyDescent="0.25">
      <c r="F3">
        <f t="shared" ref="F3:F66" si="0">QUOTIENT(G3,12)</f>
        <v>0</v>
      </c>
      <c r="G3">
        <v>2</v>
      </c>
      <c r="H3" s="655">
        <f>$D$6-I2</f>
        <v>29435.555555555555</v>
      </c>
      <c r="I3" s="655">
        <f t="shared" ref="I3:I66" si="1">G3*$D$9</f>
        <v>328.88888888888891</v>
      </c>
      <c r="J3" s="655">
        <f t="shared" ref="J3:J66" si="2">H3*$D$11</f>
        <v>12.264814814814816</v>
      </c>
      <c r="K3" s="655">
        <f>SUM($J$2:J3)</f>
        <v>95.598148148148155</v>
      </c>
      <c r="L3" s="655">
        <f t="shared" ref="L3:L66" si="3">I3+K3</f>
        <v>424.48703703703706</v>
      </c>
    </row>
    <row r="4" spans="3:12" x14ac:dyDescent="0.25">
      <c r="F4">
        <f t="shared" si="0"/>
        <v>0</v>
      </c>
      <c r="G4">
        <v>3</v>
      </c>
      <c r="H4" s="655">
        <f t="shared" ref="H4:H67" si="4">$D$6-I3</f>
        <v>29271.111111111109</v>
      </c>
      <c r="I4" s="655">
        <f t="shared" si="1"/>
        <v>493.33333333333337</v>
      </c>
      <c r="J4" s="655">
        <f t="shared" si="2"/>
        <v>12.196296296296296</v>
      </c>
      <c r="K4" s="655">
        <f>SUM($J$2:J4)</f>
        <v>107.79444444444445</v>
      </c>
      <c r="L4" s="655">
        <f t="shared" si="3"/>
        <v>601.12777777777785</v>
      </c>
    </row>
    <row r="5" spans="3:12" x14ac:dyDescent="0.25">
      <c r="F5">
        <f t="shared" si="0"/>
        <v>0</v>
      </c>
      <c r="G5">
        <v>4</v>
      </c>
      <c r="H5" s="655">
        <f t="shared" si="4"/>
        <v>29106.666666666668</v>
      </c>
      <c r="I5" s="655">
        <f t="shared" si="1"/>
        <v>657.77777777777783</v>
      </c>
      <c r="J5" s="655">
        <f t="shared" si="2"/>
        <v>12.127777777777778</v>
      </c>
      <c r="K5" s="655">
        <f>SUM($J$2:J5)</f>
        <v>119.92222222222223</v>
      </c>
      <c r="L5" s="655">
        <f t="shared" si="3"/>
        <v>777.7</v>
      </c>
    </row>
    <row r="6" spans="3:12" x14ac:dyDescent="0.25">
      <c r="C6" s="619" t="s">
        <v>640</v>
      </c>
      <c r="D6" s="619">
        <f>'💰 Financement 1'!F45</f>
        <v>29600</v>
      </c>
      <c r="F6">
        <f t="shared" si="0"/>
        <v>0</v>
      </c>
      <c r="G6">
        <v>5</v>
      </c>
      <c r="H6" s="655">
        <f t="shared" si="4"/>
        <v>28942.222222222223</v>
      </c>
      <c r="I6" s="655">
        <f t="shared" si="1"/>
        <v>822.22222222222229</v>
      </c>
      <c r="J6" s="655">
        <f t="shared" si="2"/>
        <v>12.05925925925926</v>
      </c>
      <c r="K6" s="655">
        <f>SUM($J$2:J6)</f>
        <v>131.9814814814815</v>
      </c>
      <c r="L6" s="655">
        <f t="shared" si="3"/>
        <v>954.20370370370381</v>
      </c>
    </row>
    <row r="7" spans="3:12" x14ac:dyDescent="0.25">
      <c r="C7" s="619" t="s">
        <v>641</v>
      </c>
      <c r="D7" s="619">
        <f>'💰 Financement 1'!J43</f>
        <v>15</v>
      </c>
      <c r="F7">
        <f t="shared" si="0"/>
        <v>0</v>
      </c>
      <c r="G7">
        <v>6</v>
      </c>
      <c r="H7" s="655">
        <f t="shared" si="4"/>
        <v>28777.777777777777</v>
      </c>
      <c r="I7" s="655">
        <f t="shared" si="1"/>
        <v>986.66666666666674</v>
      </c>
      <c r="J7" s="655">
        <f t="shared" si="2"/>
        <v>11.99074074074074</v>
      </c>
      <c r="K7" s="655">
        <f>SUM($J$2:J7)</f>
        <v>143.97222222222223</v>
      </c>
      <c r="L7" s="655">
        <f t="shared" si="3"/>
        <v>1130.6388888888889</v>
      </c>
    </row>
    <row r="8" spans="3:12" x14ac:dyDescent="0.25">
      <c r="C8" s="619" t="s">
        <v>642</v>
      </c>
      <c r="D8" s="619">
        <f>D7*12</f>
        <v>180</v>
      </c>
      <c r="F8">
        <f t="shared" si="0"/>
        <v>0</v>
      </c>
      <c r="G8">
        <v>7</v>
      </c>
      <c r="H8" s="655">
        <f t="shared" si="4"/>
        <v>28613.333333333332</v>
      </c>
      <c r="I8" s="655">
        <f t="shared" si="1"/>
        <v>1151.1111111111113</v>
      </c>
      <c r="J8" s="655">
        <f t="shared" si="2"/>
        <v>11.922222222222222</v>
      </c>
      <c r="K8" s="655">
        <f>SUM($J$2:J8)</f>
        <v>155.89444444444445</v>
      </c>
      <c r="L8" s="655">
        <f t="shared" si="3"/>
        <v>1307.0055555555557</v>
      </c>
    </row>
    <row r="9" spans="3:12" x14ac:dyDescent="0.25">
      <c r="C9" s="619" t="s">
        <v>645</v>
      </c>
      <c r="D9" s="619">
        <f>D6/D8</f>
        <v>164.44444444444446</v>
      </c>
      <c r="F9">
        <f t="shared" si="0"/>
        <v>0</v>
      </c>
      <c r="G9">
        <v>8</v>
      </c>
      <c r="H9" s="655">
        <f t="shared" si="4"/>
        <v>28448.888888888891</v>
      </c>
      <c r="I9" s="655">
        <f t="shared" si="1"/>
        <v>1315.5555555555557</v>
      </c>
      <c r="J9" s="655">
        <f t="shared" si="2"/>
        <v>11.853703703703705</v>
      </c>
      <c r="K9" s="655">
        <f>SUM($J$2:J9)</f>
        <v>167.74814814814815</v>
      </c>
      <c r="L9" s="655">
        <f t="shared" si="3"/>
        <v>1483.3037037037038</v>
      </c>
    </row>
    <row r="10" spans="3:12" x14ac:dyDescent="0.25">
      <c r="C10" s="619" t="s">
        <v>649</v>
      </c>
      <c r="D10" s="664">
        <f>'💰 Financement 1'!F49</f>
        <v>5.0000000000000001E-3</v>
      </c>
      <c r="F10">
        <f t="shared" si="0"/>
        <v>0</v>
      </c>
      <c r="G10">
        <v>9</v>
      </c>
      <c r="H10" s="655">
        <f t="shared" si="4"/>
        <v>28284.444444444445</v>
      </c>
      <c r="I10" s="655">
        <f t="shared" si="1"/>
        <v>1480</v>
      </c>
      <c r="J10" s="655">
        <f t="shared" si="2"/>
        <v>11.785185185185187</v>
      </c>
      <c r="K10" s="655">
        <f>SUM($J$2:J10)</f>
        <v>179.53333333333333</v>
      </c>
      <c r="L10" s="655">
        <f t="shared" si="3"/>
        <v>1659.5333333333333</v>
      </c>
    </row>
    <row r="11" spans="3:12" x14ac:dyDescent="0.25">
      <c r="C11" s="619" t="s">
        <v>648</v>
      </c>
      <c r="D11" s="619">
        <f>D10/12</f>
        <v>4.1666666666666669E-4</v>
      </c>
      <c r="F11">
        <f t="shared" si="0"/>
        <v>0</v>
      </c>
      <c r="G11">
        <v>10</v>
      </c>
      <c r="H11" s="655">
        <f t="shared" si="4"/>
        <v>28120</v>
      </c>
      <c r="I11" s="655">
        <f t="shared" si="1"/>
        <v>1644.4444444444446</v>
      </c>
      <c r="J11" s="655">
        <f t="shared" si="2"/>
        <v>11.716666666666667</v>
      </c>
      <c r="K11" s="655">
        <f>SUM($J$2:J11)</f>
        <v>191.25</v>
      </c>
      <c r="L11" s="655">
        <f t="shared" si="3"/>
        <v>1835.6944444444446</v>
      </c>
    </row>
    <row r="12" spans="3:12" x14ac:dyDescent="0.25">
      <c r="C12" s="619" t="s">
        <v>644</v>
      </c>
      <c r="D12" s="619">
        <f>VLOOKUP(D8,G2:L301,5,FALSE)</f>
        <v>1187.1666666666663</v>
      </c>
      <c r="F12">
        <f t="shared" si="0"/>
        <v>0</v>
      </c>
      <c r="G12">
        <v>11</v>
      </c>
      <c r="H12" s="655">
        <f t="shared" si="4"/>
        <v>27955.555555555555</v>
      </c>
      <c r="I12" s="655">
        <f t="shared" si="1"/>
        <v>1808.8888888888891</v>
      </c>
      <c r="J12" s="655">
        <f t="shared" si="2"/>
        <v>11.648148148148149</v>
      </c>
      <c r="K12" s="655">
        <f>SUM($J$2:J12)</f>
        <v>202.89814814814815</v>
      </c>
      <c r="L12" s="655">
        <f t="shared" si="3"/>
        <v>2011.7870370370374</v>
      </c>
    </row>
    <row r="13" spans="3:12" x14ac:dyDescent="0.25">
      <c r="F13">
        <f t="shared" si="0"/>
        <v>1</v>
      </c>
      <c r="G13">
        <v>12</v>
      </c>
      <c r="H13" s="655">
        <f t="shared" si="4"/>
        <v>27791.111111111109</v>
      </c>
      <c r="I13" s="655">
        <f t="shared" si="1"/>
        <v>1973.3333333333335</v>
      </c>
      <c r="J13" s="655">
        <f t="shared" si="2"/>
        <v>11.579629629629629</v>
      </c>
      <c r="K13" s="655">
        <f>SUM($J$2:J13)</f>
        <v>214.47777777777779</v>
      </c>
      <c r="L13" s="655">
        <f t="shared" si="3"/>
        <v>2187.8111111111111</v>
      </c>
    </row>
    <row r="14" spans="3:12" x14ac:dyDescent="0.25">
      <c r="F14">
        <f t="shared" si="0"/>
        <v>1</v>
      </c>
      <c r="G14">
        <v>13</v>
      </c>
      <c r="H14" s="655">
        <f t="shared" si="4"/>
        <v>27626.666666666668</v>
      </c>
      <c r="I14" s="655">
        <f t="shared" si="1"/>
        <v>2137.7777777777778</v>
      </c>
      <c r="J14" s="655">
        <f t="shared" si="2"/>
        <v>11.511111111111113</v>
      </c>
      <c r="K14" s="655">
        <f>SUM($J$2:J14)</f>
        <v>225.98888888888891</v>
      </c>
      <c r="L14" s="655">
        <f t="shared" si="3"/>
        <v>2363.7666666666669</v>
      </c>
    </row>
    <row r="15" spans="3:12" x14ac:dyDescent="0.25">
      <c r="F15">
        <f t="shared" si="0"/>
        <v>1</v>
      </c>
      <c r="G15">
        <v>14</v>
      </c>
      <c r="H15" s="655">
        <f t="shared" si="4"/>
        <v>27462.222222222223</v>
      </c>
      <c r="I15" s="655">
        <f t="shared" si="1"/>
        <v>2302.2222222222226</v>
      </c>
      <c r="J15" s="655">
        <f t="shared" si="2"/>
        <v>11.442592592592593</v>
      </c>
      <c r="K15" s="655">
        <f>SUM($J$2:J15)</f>
        <v>237.43148148148151</v>
      </c>
      <c r="L15" s="655">
        <f t="shared" si="3"/>
        <v>2539.6537037037042</v>
      </c>
    </row>
    <row r="16" spans="3:12" x14ac:dyDescent="0.25">
      <c r="F16">
        <f t="shared" si="0"/>
        <v>1</v>
      </c>
      <c r="G16">
        <v>15</v>
      </c>
      <c r="H16" s="655">
        <f t="shared" si="4"/>
        <v>27297.777777777777</v>
      </c>
      <c r="I16" s="655">
        <f t="shared" si="1"/>
        <v>2466.666666666667</v>
      </c>
      <c r="J16" s="655">
        <f t="shared" si="2"/>
        <v>11.374074074074075</v>
      </c>
      <c r="K16" s="655">
        <f>SUM($J$2:J16)</f>
        <v>248.8055555555556</v>
      </c>
      <c r="L16" s="655">
        <f t="shared" si="3"/>
        <v>2715.4722222222226</v>
      </c>
    </row>
    <row r="17" spans="6:12" x14ac:dyDescent="0.25">
      <c r="F17">
        <f t="shared" si="0"/>
        <v>1</v>
      </c>
      <c r="G17">
        <v>16</v>
      </c>
      <c r="H17" s="655">
        <f t="shared" si="4"/>
        <v>27133.333333333332</v>
      </c>
      <c r="I17" s="655">
        <f t="shared" si="1"/>
        <v>2631.1111111111113</v>
      </c>
      <c r="J17" s="655">
        <f t="shared" si="2"/>
        <v>11.305555555555555</v>
      </c>
      <c r="K17" s="655">
        <f>SUM($J$2:J17)</f>
        <v>260.11111111111114</v>
      </c>
      <c r="L17" s="655">
        <f t="shared" si="3"/>
        <v>2891.2222222222226</v>
      </c>
    </row>
    <row r="18" spans="6:12" x14ac:dyDescent="0.25">
      <c r="F18">
        <f t="shared" si="0"/>
        <v>1</v>
      </c>
      <c r="G18">
        <v>17</v>
      </c>
      <c r="H18" s="655">
        <f t="shared" si="4"/>
        <v>26968.888888888891</v>
      </c>
      <c r="I18" s="655">
        <f t="shared" si="1"/>
        <v>2795.5555555555557</v>
      </c>
      <c r="J18" s="655">
        <f t="shared" si="2"/>
        <v>11.237037037037039</v>
      </c>
      <c r="K18" s="655">
        <f>SUM($J$2:J18)</f>
        <v>271.3481481481482</v>
      </c>
      <c r="L18" s="655">
        <f t="shared" si="3"/>
        <v>3066.9037037037037</v>
      </c>
    </row>
    <row r="19" spans="6:12" x14ac:dyDescent="0.25">
      <c r="F19">
        <f t="shared" si="0"/>
        <v>1</v>
      </c>
      <c r="G19">
        <v>18</v>
      </c>
      <c r="H19" s="655">
        <f t="shared" si="4"/>
        <v>26804.444444444445</v>
      </c>
      <c r="I19" s="655">
        <f t="shared" si="1"/>
        <v>2960</v>
      </c>
      <c r="J19" s="655">
        <f t="shared" si="2"/>
        <v>11.168518518518519</v>
      </c>
      <c r="K19" s="655">
        <f>SUM($J$2:J19)</f>
        <v>282.51666666666671</v>
      </c>
      <c r="L19" s="655">
        <f t="shared" si="3"/>
        <v>3242.5166666666669</v>
      </c>
    </row>
    <row r="20" spans="6:12" x14ac:dyDescent="0.25">
      <c r="F20">
        <f t="shared" si="0"/>
        <v>1</v>
      </c>
      <c r="G20">
        <v>19</v>
      </c>
      <c r="H20" s="655">
        <f t="shared" si="4"/>
        <v>26640</v>
      </c>
      <c r="I20" s="655">
        <f t="shared" si="1"/>
        <v>3124.4444444444448</v>
      </c>
      <c r="J20" s="655">
        <f t="shared" si="2"/>
        <v>11.100000000000001</v>
      </c>
      <c r="K20" s="655">
        <f>SUM($J$2:J20)</f>
        <v>293.61666666666673</v>
      </c>
      <c r="L20" s="655">
        <f t="shared" si="3"/>
        <v>3418.0611111111116</v>
      </c>
    </row>
    <row r="21" spans="6:12" x14ac:dyDescent="0.25">
      <c r="F21">
        <f t="shared" si="0"/>
        <v>1</v>
      </c>
      <c r="G21">
        <v>20</v>
      </c>
      <c r="H21" s="655">
        <f t="shared" si="4"/>
        <v>26475.555555555555</v>
      </c>
      <c r="I21" s="655">
        <f t="shared" si="1"/>
        <v>3288.8888888888891</v>
      </c>
      <c r="J21" s="655">
        <f t="shared" si="2"/>
        <v>11.031481481481482</v>
      </c>
      <c r="K21" s="655">
        <f>SUM($J$2:J21)</f>
        <v>304.64814814814821</v>
      </c>
      <c r="L21" s="655">
        <f t="shared" si="3"/>
        <v>3593.5370370370374</v>
      </c>
    </row>
    <row r="22" spans="6:12" x14ac:dyDescent="0.25">
      <c r="F22">
        <f t="shared" si="0"/>
        <v>1</v>
      </c>
      <c r="G22">
        <v>21</v>
      </c>
      <c r="H22" s="655">
        <f t="shared" si="4"/>
        <v>26311.111111111109</v>
      </c>
      <c r="I22" s="655">
        <f t="shared" si="1"/>
        <v>3453.3333333333335</v>
      </c>
      <c r="J22" s="655">
        <f t="shared" si="2"/>
        <v>10.962962962962964</v>
      </c>
      <c r="K22" s="655">
        <f>SUM($J$2:J22)</f>
        <v>315.6111111111112</v>
      </c>
      <c r="L22" s="655">
        <f t="shared" si="3"/>
        <v>3768.9444444444448</v>
      </c>
    </row>
    <row r="23" spans="6:12" x14ac:dyDescent="0.25">
      <c r="F23">
        <f t="shared" si="0"/>
        <v>1</v>
      </c>
      <c r="G23">
        <v>22</v>
      </c>
      <c r="H23" s="655">
        <f t="shared" si="4"/>
        <v>26146.666666666668</v>
      </c>
      <c r="I23" s="655">
        <f t="shared" si="1"/>
        <v>3617.7777777777783</v>
      </c>
      <c r="J23" s="655">
        <f t="shared" si="2"/>
        <v>10.894444444444446</v>
      </c>
      <c r="K23" s="655">
        <f>SUM($J$2:J23)</f>
        <v>326.50555555555565</v>
      </c>
      <c r="L23" s="655">
        <f t="shared" si="3"/>
        <v>3944.2833333333338</v>
      </c>
    </row>
    <row r="24" spans="6:12" x14ac:dyDescent="0.25">
      <c r="F24">
        <f t="shared" si="0"/>
        <v>1</v>
      </c>
      <c r="G24">
        <v>23</v>
      </c>
      <c r="H24" s="655">
        <f t="shared" si="4"/>
        <v>25982.222222222223</v>
      </c>
      <c r="I24" s="655">
        <f t="shared" si="1"/>
        <v>3782.2222222222226</v>
      </c>
      <c r="J24" s="655">
        <f t="shared" si="2"/>
        <v>10.825925925925926</v>
      </c>
      <c r="K24" s="655">
        <f>SUM($J$2:J24)</f>
        <v>337.33148148148155</v>
      </c>
      <c r="L24" s="655">
        <f t="shared" si="3"/>
        <v>4119.5537037037038</v>
      </c>
    </row>
    <row r="25" spans="6:12" x14ac:dyDescent="0.25">
      <c r="F25">
        <f t="shared" si="0"/>
        <v>2</v>
      </c>
      <c r="G25">
        <v>24</v>
      </c>
      <c r="H25" s="655">
        <f t="shared" si="4"/>
        <v>25817.777777777777</v>
      </c>
      <c r="I25" s="655">
        <f t="shared" si="1"/>
        <v>3946.666666666667</v>
      </c>
      <c r="J25" s="655">
        <f t="shared" si="2"/>
        <v>10.757407407407408</v>
      </c>
      <c r="K25" s="655">
        <f>SUM($J$2:J25)</f>
        <v>348.08888888888896</v>
      </c>
      <c r="L25" s="655">
        <f t="shared" si="3"/>
        <v>4294.7555555555555</v>
      </c>
    </row>
    <row r="26" spans="6:12" x14ac:dyDescent="0.25">
      <c r="F26">
        <f t="shared" si="0"/>
        <v>2</v>
      </c>
      <c r="G26">
        <v>25</v>
      </c>
      <c r="H26" s="655">
        <f t="shared" si="4"/>
        <v>25653.333333333332</v>
      </c>
      <c r="I26" s="655">
        <f t="shared" si="1"/>
        <v>4111.1111111111113</v>
      </c>
      <c r="J26" s="655">
        <f t="shared" si="2"/>
        <v>10.688888888888888</v>
      </c>
      <c r="K26" s="655">
        <f>SUM($J$2:J26)</f>
        <v>358.77777777777783</v>
      </c>
      <c r="L26" s="655">
        <f t="shared" si="3"/>
        <v>4469.8888888888887</v>
      </c>
    </row>
    <row r="27" spans="6:12" x14ac:dyDescent="0.25">
      <c r="F27">
        <f t="shared" si="0"/>
        <v>2</v>
      </c>
      <c r="G27">
        <v>26</v>
      </c>
      <c r="H27" s="655">
        <f t="shared" si="4"/>
        <v>25488.888888888891</v>
      </c>
      <c r="I27" s="655">
        <f t="shared" si="1"/>
        <v>4275.5555555555557</v>
      </c>
      <c r="J27" s="655">
        <f t="shared" si="2"/>
        <v>10.620370370370372</v>
      </c>
      <c r="K27" s="655">
        <f>SUM($J$2:J27)</f>
        <v>369.39814814814821</v>
      </c>
      <c r="L27" s="655">
        <f t="shared" si="3"/>
        <v>4644.9537037037035</v>
      </c>
    </row>
    <row r="28" spans="6:12" x14ac:dyDescent="0.25">
      <c r="F28">
        <f t="shared" si="0"/>
        <v>2</v>
      </c>
      <c r="G28">
        <v>27</v>
      </c>
      <c r="H28" s="655">
        <f t="shared" si="4"/>
        <v>25324.444444444445</v>
      </c>
      <c r="I28" s="655">
        <f t="shared" si="1"/>
        <v>4440</v>
      </c>
      <c r="J28" s="655">
        <f t="shared" si="2"/>
        <v>10.551851851851852</v>
      </c>
      <c r="K28" s="655">
        <f>SUM($J$2:J28)</f>
        <v>379.95000000000005</v>
      </c>
      <c r="L28" s="655">
        <f t="shared" si="3"/>
        <v>4819.95</v>
      </c>
    </row>
    <row r="29" spans="6:12" x14ac:dyDescent="0.25">
      <c r="F29">
        <f t="shared" si="0"/>
        <v>2</v>
      </c>
      <c r="G29">
        <v>28</v>
      </c>
      <c r="H29" s="655">
        <f t="shared" si="4"/>
        <v>25160</v>
      </c>
      <c r="I29" s="655">
        <f t="shared" si="1"/>
        <v>4604.4444444444453</v>
      </c>
      <c r="J29" s="655">
        <f t="shared" si="2"/>
        <v>10.483333333333334</v>
      </c>
      <c r="K29" s="655">
        <f>SUM($J$2:J29)</f>
        <v>390.43333333333339</v>
      </c>
      <c r="L29" s="655">
        <f t="shared" si="3"/>
        <v>4994.8777777777786</v>
      </c>
    </row>
    <row r="30" spans="6:12" x14ac:dyDescent="0.25">
      <c r="F30">
        <f t="shared" si="0"/>
        <v>2</v>
      </c>
      <c r="G30">
        <v>29</v>
      </c>
      <c r="H30" s="655">
        <f t="shared" si="4"/>
        <v>24995.555555555555</v>
      </c>
      <c r="I30" s="655">
        <f t="shared" si="1"/>
        <v>4768.8888888888896</v>
      </c>
      <c r="J30" s="655">
        <f t="shared" si="2"/>
        <v>10.414814814814815</v>
      </c>
      <c r="K30" s="655">
        <f>SUM($J$2:J30)</f>
        <v>400.8481481481482</v>
      </c>
      <c r="L30" s="655">
        <f t="shared" si="3"/>
        <v>5169.7370370370381</v>
      </c>
    </row>
    <row r="31" spans="6:12" x14ac:dyDescent="0.25">
      <c r="F31">
        <f t="shared" si="0"/>
        <v>2</v>
      </c>
      <c r="G31">
        <v>30</v>
      </c>
      <c r="H31" s="655">
        <f t="shared" si="4"/>
        <v>24831.111111111109</v>
      </c>
      <c r="I31" s="655">
        <f t="shared" si="1"/>
        <v>4933.3333333333339</v>
      </c>
      <c r="J31" s="655">
        <f t="shared" si="2"/>
        <v>10.346296296296297</v>
      </c>
      <c r="K31" s="655">
        <f>SUM($J$2:J31)</f>
        <v>411.19444444444451</v>
      </c>
      <c r="L31" s="655">
        <f t="shared" si="3"/>
        <v>5344.5277777777783</v>
      </c>
    </row>
    <row r="32" spans="6:12" x14ac:dyDescent="0.25">
      <c r="F32">
        <f t="shared" si="0"/>
        <v>2</v>
      </c>
      <c r="G32">
        <v>31</v>
      </c>
      <c r="H32" s="655">
        <f t="shared" si="4"/>
        <v>24666.666666666664</v>
      </c>
      <c r="I32" s="655">
        <f t="shared" si="1"/>
        <v>5097.7777777777783</v>
      </c>
      <c r="J32" s="655">
        <f t="shared" si="2"/>
        <v>10.277777777777777</v>
      </c>
      <c r="K32" s="655">
        <f>SUM($J$2:J32)</f>
        <v>421.47222222222229</v>
      </c>
      <c r="L32" s="655">
        <f t="shared" si="3"/>
        <v>5519.2500000000009</v>
      </c>
    </row>
    <row r="33" spans="6:12" x14ac:dyDescent="0.25">
      <c r="F33">
        <f t="shared" si="0"/>
        <v>2</v>
      </c>
      <c r="G33">
        <v>32</v>
      </c>
      <c r="H33" s="655">
        <f t="shared" si="4"/>
        <v>24502.222222222223</v>
      </c>
      <c r="I33" s="655">
        <f t="shared" si="1"/>
        <v>5262.2222222222226</v>
      </c>
      <c r="J33" s="655">
        <f t="shared" si="2"/>
        <v>10.209259259259261</v>
      </c>
      <c r="K33" s="655">
        <f>SUM($J$2:J33)</f>
        <v>431.68148148148157</v>
      </c>
      <c r="L33" s="655">
        <f t="shared" si="3"/>
        <v>5693.9037037037042</v>
      </c>
    </row>
    <row r="34" spans="6:12" x14ac:dyDescent="0.25">
      <c r="F34">
        <f t="shared" si="0"/>
        <v>2</v>
      </c>
      <c r="G34">
        <v>33</v>
      </c>
      <c r="H34" s="655">
        <f t="shared" si="4"/>
        <v>24337.777777777777</v>
      </c>
      <c r="I34" s="655">
        <f t="shared" si="1"/>
        <v>5426.666666666667</v>
      </c>
      <c r="J34" s="655">
        <f t="shared" si="2"/>
        <v>10.140740740740741</v>
      </c>
      <c r="K34" s="655">
        <f>SUM($J$2:J34)</f>
        <v>441.82222222222231</v>
      </c>
      <c r="L34" s="655">
        <f t="shared" si="3"/>
        <v>5868.4888888888891</v>
      </c>
    </row>
    <row r="35" spans="6:12" x14ac:dyDescent="0.25">
      <c r="F35">
        <f t="shared" si="0"/>
        <v>2</v>
      </c>
      <c r="G35">
        <v>34</v>
      </c>
      <c r="H35" s="655">
        <f t="shared" si="4"/>
        <v>24173.333333333332</v>
      </c>
      <c r="I35" s="655">
        <f t="shared" si="1"/>
        <v>5591.1111111111113</v>
      </c>
      <c r="J35" s="655">
        <f t="shared" si="2"/>
        <v>10.072222222222223</v>
      </c>
      <c r="K35" s="655">
        <f>SUM($J$2:J35)</f>
        <v>451.8944444444445</v>
      </c>
      <c r="L35" s="655">
        <f t="shared" si="3"/>
        <v>6043.0055555555555</v>
      </c>
    </row>
    <row r="36" spans="6:12" x14ac:dyDescent="0.25">
      <c r="F36">
        <f t="shared" si="0"/>
        <v>2</v>
      </c>
      <c r="G36">
        <v>35</v>
      </c>
      <c r="H36" s="655">
        <f t="shared" si="4"/>
        <v>24008.888888888891</v>
      </c>
      <c r="I36" s="655">
        <f t="shared" si="1"/>
        <v>5755.5555555555557</v>
      </c>
      <c r="J36" s="655">
        <f t="shared" si="2"/>
        <v>10.003703703703705</v>
      </c>
      <c r="K36" s="655">
        <f>SUM($J$2:J36)</f>
        <v>461.89814814814821</v>
      </c>
      <c r="L36" s="655">
        <f t="shared" si="3"/>
        <v>6217.4537037037035</v>
      </c>
    </row>
    <row r="37" spans="6:12" x14ac:dyDescent="0.25">
      <c r="F37">
        <f t="shared" si="0"/>
        <v>3</v>
      </c>
      <c r="G37">
        <v>36</v>
      </c>
      <c r="H37" s="655">
        <f t="shared" si="4"/>
        <v>23844.444444444445</v>
      </c>
      <c r="I37" s="655">
        <f t="shared" si="1"/>
        <v>5920</v>
      </c>
      <c r="J37" s="655">
        <f t="shared" si="2"/>
        <v>9.9351851851851869</v>
      </c>
      <c r="K37" s="655">
        <f>SUM($J$2:J37)</f>
        <v>471.83333333333337</v>
      </c>
      <c r="L37" s="655">
        <f t="shared" si="3"/>
        <v>6391.833333333333</v>
      </c>
    </row>
    <row r="38" spans="6:12" x14ac:dyDescent="0.25">
      <c r="F38">
        <f t="shared" si="0"/>
        <v>3</v>
      </c>
      <c r="G38">
        <v>37</v>
      </c>
      <c r="H38" s="655">
        <f t="shared" si="4"/>
        <v>23680</v>
      </c>
      <c r="I38" s="655">
        <f t="shared" si="1"/>
        <v>6084.4444444444453</v>
      </c>
      <c r="J38" s="655">
        <f t="shared" si="2"/>
        <v>9.8666666666666671</v>
      </c>
      <c r="K38" s="655">
        <f>SUM($J$2:J38)</f>
        <v>481.70000000000005</v>
      </c>
      <c r="L38" s="655">
        <f t="shared" si="3"/>
        <v>6566.1444444444451</v>
      </c>
    </row>
    <row r="39" spans="6:12" x14ac:dyDescent="0.25">
      <c r="F39">
        <f t="shared" si="0"/>
        <v>3</v>
      </c>
      <c r="G39">
        <v>38</v>
      </c>
      <c r="H39" s="655">
        <f t="shared" si="4"/>
        <v>23515.555555555555</v>
      </c>
      <c r="I39" s="655">
        <f t="shared" si="1"/>
        <v>6248.8888888888896</v>
      </c>
      <c r="J39" s="655">
        <f t="shared" si="2"/>
        <v>9.7981481481481492</v>
      </c>
      <c r="K39" s="655">
        <f>SUM($J$2:J39)</f>
        <v>491.49814814814818</v>
      </c>
      <c r="L39" s="655">
        <f t="shared" si="3"/>
        <v>6740.3870370370378</v>
      </c>
    </row>
    <row r="40" spans="6:12" x14ac:dyDescent="0.25">
      <c r="F40">
        <f t="shared" si="0"/>
        <v>3</v>
      </c>
      <c r="G40">
        <v>39</v>
      </c>
      <c r="H40" s="655">
        <f t="shared" si="4"/>
        <v>23351.111111111109</v>
      </c>
      <c r="I40" s="655">
        <f t="shared" si="1"/>
        <v>6413.3333333333339</v>
      </c>
      <c r="J40" s="655">
        <f t="shared" si="2"/>
        <v>9.7296296296296294</v>
      </c>
      <c r="K40" s="655">
        <f>SUM($J$2:J40)</f>
        <v>501.22777777777782</v>
      </c>
      <c r="L40" s="655">
        <f t="shared" si="3"/>
        <v>6914.561111111112</v>
      </c>
    </row>
    <row r="41" spans="6:12" x14ac:dyDescent="0.25">
      <c r="F41">
        <f t="shared" si="0"/>
        <v>3</v>
      </c>
      <c r="G41">
        <v>40</v>
      </c>
      <c r="H41" s="655">
        <f t="shared" si="4"/>
        <v>23186.666666666664</v>
      </c>
      <c r="I41" s="655">
        <f t="shared" si="1"/>
        <v>6577.7777777777783</v>
      </c>
      <c r="J41" s="655">
        <f t="shared" si="2"/>
        <v>9.6611111111111114</v>
      </c>
      <c r="K41" s="655">
        <f>SUM($J$2:J41)</f>
        <v>510.88888888888891</v>
      </c>
      <c r="L41" s="655">
        <f t="shared" si="3"/>
        <v>7088.666666666667</v>
      </c>
    </row>
    <row r="42" spans="6:12" x14ac:dyDescent="0.25">
      <c r="F42">
        <f t="shared" si="0"/>
        <v>3</v>
      </c>
      <c r="G42">
        <v>41</v>
      </c>
      <c r="H42" s="655">
        <f t="shared" si="4"/>
        <v>23022.222222222223</v>
      </c>
      <c r="I42" s="655">
        <f t="shared" si="1"/>
        <v>6742.2222222222226</v>
      </c>
      <c r="J42" s="655">
        <f t="shared" si="2"/>
        <v>9.5925925925925934</v>
      </c>
      <c r="K42" s="655">
        <f>SUM($J$2:J42)</f>
        <v>520.48148148148152</v>
      </c>
      <c r="L42" s="655">
        <f t="shared" si="3"/>
        <v>7262.7037037037044</v>
      </c>
    </row>
    <row r="43" spans="6:12" x14ac:dyDescent="0.25">
      <c r="F43">
        <f t="shared" si="0"/>
        <v>3</v>
      </c>
      <c r="G43">
        <v>42</v>
      </c>
      <c r="H43" s="655">
        <f t="shared" si="4"/>
        <v>22857.777777777777</v>
      </c>
      <c r="I43" s="655">
        <f t="shared" si="1"/>
        <v>6906.666666666667</v>
      </c>
      <c r="J43" s="655">
        <f t="shared" si="2"/>
        <v>9.5240740740740737</v>
      </c>
      <c r="K43" s="655">
        <f>SUM($J$2:J43)</f>
        <v>530.00555555555559</v>
      </c>
      <c r="L43" s="655">
        <f t="shared" si="3"/>
        <v>7436.6722222222224</v>
      </c>
    </row>
    <row r="44" spans="6:12" x14ac:dyDescent="0.25">
      <c r="F44">
        <f t="shared" si="0"/>
        <v>3</v>
      </c>
      <c r="G44">
        <v>43</v>
      </c>
      <c r="H44" s="655">
        <f t="shared" si="4"/>
        <v>22693.333333333332</v>
      </c>
      <c r="I44" s="655">
        <f t="shared" si="1"/>
        <v>7071.1111111111113</v>
      </c>
      <c r="J44" s="655">
        <f t="shared" si="2"/>
        <v>9.4555555555555557</v>
      </c>
      <c r="K44" s="655">
        <f>SUM($J$2:J44)</f>
        <v>539.46111111111111</v>
      </c>
      <c r="L44" s="655">
        <f t="shared" si="3"/>
        <v>7610.5722222222221</v>
      </c>
    </row>
    <row r="45" spans="6:12" x14ac:dyDescent="0.25">
      <c r="F45">
        <f t="shared" si="0"/>
        <v>3</v>
      </c>
      <c r="G45">
        <v>44</v>
      </c>
      <c r="H45" s="655">
        <f t="shared" si="4"/>
        <v>22528.888888888891</v>
      </c>
      <c r="I45" s="655">
        <f t="shared" si="1"/>
        <v>7235.5555555555566</v>
      </c>
      <c r="J45" s="655">
        <f t="shared" si="2"/>
        <v>9.3870370370370377</v>
      </c>
      <c r="K45" s="655">
        <f>SUM($J$2:J45)</f>
        <v>548.8481481481482</v>
      </c>
      <c r="L45" s="655">
        <f t="shared" si="3"/>
        <v>7784.4037037037051</v>
      </c>
    </row>
    <row r="46" spans="6:12" x14ac:dyDescent="0.25">
      <c r="F46">
        <f t="shared" si="0"/>
        <v>3</v>
      </c>
      <c r="G46">
        <v>45</v>
      </c>
      <c r="H46" s="655">
        <f t="shared" si="4"/>
        <v>22364.444444444445</v>
      </c>
      <c r="I46" s="655">
        <f t="shared" si="1"/>
        <v>7400.0000000000009</v>
      </c>
      <c r="J46" s="655">
        <f t="shared" si="2"/>
        <v>9.3185185185185198</v>
      </c>
      <c r="K46" s="655">
        <f>SUM($J$2:J46)</f>
        <v>558.16666666666674</v>
      </c>
      <c r="L46" s="655">
        <f t="shared" si="3"/>
        <v>7958.1666666666679</v>
      </c>
    </row>
    <row r="47" spans="6:12" x14ac:dyDescent="0.25">
      <c r="F47">
        <f t="shared" si="0"/>
        <v>3</v>
      </c>
      <c r="G47">
        <v>46</v>
      </c>
      <c r="H47" s="655">
        <f t="shared" si="4"/>
        <v>22200</v>
      </c>
      <c r="I47" s="655">
        <f t="shared" si="1"/>
        <v>7564.4444444444453</v>
      </c>
      <c r="J47" s="655">
        <f t="shared" si="2"/>
        <v>9.25</v>
      </c>
      <c r="K47" s="655">
        <f>SUM($J$2:J47)</f>
        <v>567.41666666666674</v>
      </c>
      <c r="L47" s="655">
        <f t="shared" si="3"/>
        <v>8131.8611111111122</v>
      </c>
    </row>
    <row r="48" spans="6:12" x14ac:dyDescent="0.25">
      <c r="F48">
        <f t="shared" si="0"/>
        <v>3</v>
      </c>
      <c r="G48">
        <v>47</v>
      </c>
      <c r="H48" s="655">
        <f t="shared" si="4"/>
        <v>22035.555555555555</v>
      </c>
      <c r="I48" s="655">
        <f t="shared" si="1"/>
        <v>7728.8888888888896</v>
      </c>
      <c r="J48" s="655">
        <f t="shared" si="2"/>
        <v>9.181481481481482</v>
      </c>
      <c r="K48" s="655">
        <f>SUM($J$2:J48)</f>
        <v>576.5981481481482</v>
      </c>
      <c r="L48" s="655">
        <f t="shared" si="3"/>
        <v>8305.4870370370372</v>
      </c>
    </row>
    <row r="49" spans="6:12" x14ac:dyDescent="0.25">
      <c r="F49">
        <f t="shared" si="0"/>
        <v>4</v>
      </c>
      <c r="G49">
        <v>48</v>
      </c>
      <c r="H49" s="655">
        <f t="shared" si="4"/>
        <v>21871.111111111109</v>
      </c>
      <c r="I49" s="655">
        <f t="shared" si="1"/>
        <v>7893.3333333333339</v>
      </c>
      <c r="J49" s="655">
        <f t="shared" si="2"/>
        <v>9.1129629629629623</v>
      </c>
      <c r="K49" s="655">
        <f>SUM($J$2:J49)</f>
        <v>585.71111111111111</v>
      </c>
      <c r="L49" s="655">
        <f t="shared" si="3"/>
        <v>8479.0444444444456</v>
      </c>
    </row>
    <row r="50" spans="6:12" x14ac:dyDescent="0.25">
      <c r="F50">
        <f t="shared" si="0"/>
        <v>4</v>
      </c>
      <c r="G50">
        <v>49</v>
      </c>
      <c r="H50" s="655">
        <f t="shared" si="4"/>
        <v>21706.666666666664</v>
      </c>
      <c r="I50" s="655">
        <f t="shared" si="1"/>
        <v>8057.7777777777783</v>
      </c>
      <c r="J50" s="655">
        <f t="shared" si="2"/>
        <v>9.0444444444444443</v>
      </c>
      <c r="K50" s="655">
        <f>SUM($J$2:J50)</f>
        <v>594.75555555555559</v>
      </c>
      <c r="L50" s="655">
        <f t="shared" si="3"/>
        <v>8652.5333333333347</v>
      </c>
    </row>
    <row r="51" spans="6:12" x14ac:dyDescent="0.25">
      <c r="F51">
        <f t="shared" si="0"/>
        <v>4</v>
      </c>
      <c r="G51">
        <v>50</v>
      </c>
      <c r="H51" s="655">
        <f t="shared" si="4"/>
        <v>21542.222222222223</v>
      </c>
      <c r="I51" s="655">
        <f t="shared" si="1"/>
        <v>8222.2222222222226</v>
      </c>
      <c r="J51" s="655">
        <f t="shared" si="2"/>
        <v>8.9759259259259263</v>
      </c>
      <c r="K51" s="655">
        <f>SUM($J$2:J51)</f>
        <v>603.73148148148152</v>
      </c>
      <c r="L51" s="655">
        <f t="shared" si="3"/>
        <v>8825.9537037037044</v>
      </c>
    </row>
    <row r="52" spans="6:12" x14ac:dyDescent="0.25">
      <c r="F52">
        <f t="shared" si="0"/>
        <v>4</v>
      </c>
      <c r="G52">
        <v>51</v>
      </c>
      <c r="H52" s="655">
        <f t="shared" si="4"/>
        <v>21377.777777777777</v>
      </c>
      <c r="I52" s="655">
        <f t="shared" si="1"/>
        <v>8386.6666666666679</v>
      </c>
      <c r="J52" s="655">
        <f t="shared" si="2"/>
        <v>8.9074074074074083</v>
      </c>
      <c r="K52" s="655">
        <f>SUM($J$2:J52)</f>
        <v>612.63888888888891</v>
      </c>
      <c r="L52" s="655">
        <f t="shared" si="3"/>
        <v>8999.3055555555566</v>
      </c>
    </row>
    <row r="53" spans="6:12" x14ac:dyDescent="0.25">
      <c r="F53">
        <f t="shared" si="0"/>
        <v>4</v>
      </c>
      <c r="G53">
        <v>52</v>
      </c>
      <c r="H53" s="655">
        <f t="shared" si="4"/>
        <v>21213.333333333332</v>
      </c>
      <c r="I53" s="655">
        <f t="shared" si="1"/>
        <v>8551.1111111111113</v>
      </c>
      <c r="J53" s="655">
        <f t="shared" si="2"/>
        <v>8.8388888888888886</v>
      </c>
      <c r="K53" s="655">
        <f>SUM($J$2:J53)</f>
        <v>621.47777777777776</v>
      </c>
      <c r="L53" s="655">
        <f t="shared" si="3"/>
        <v>9172.5888888888894</v>
      </c>
    </row>
    <row r="54" spans="6:12" x14ac:dyDescent="0.25">
      <c r="F54">
        <f t="shared" si="0"/>
        <v>4</v>
      </c>
      <c r="G54">
        <v>53</v>
      </c>
      <c r="H54" s="655">
        <f t="shared" si="4"/>
        <v>21048.888888888891</v>
      </c>
      <c r="I54" s="655">
        <f t="shared" si="1"/>
        <v>8715.5555555555566</v>
      </c>
      <c r="J54" s="655">
        <f t="shared" si="2"/>
        <v>8.7703703703703724</v>
      </c>
      <c r="K54" s="655">
        <f>SUM($J$2:J54)</f>
        <v>630.24814814814818</v>
      </c>
      <c r="L54" s="655">
        <f t="shared" si="3"/>
        <v>9345.8037037037047</v>
      </c>
    </row>
    <row r="55" spans="6:12" x14ac:dyDescent="0.25">
      <c r="F55">
        <f t="shared" si="0"/>
        <v>4</v>
      </c>
      <c r="G55">
        <v>54</v>
      </c>
      <c r="H55" s="655">
        <f t="shared" si="4"/>
        <v>20884.444444444445</v>
      </c>
      <c r="I55" s="655">
        <f t="shared" si="1"/>
        <v>8880</v>
      </c>
      <c r="J55" s="655">
        <f t="shared" si="2"/>
        <v>8.7018518518518526</v>
      </c>
      <c r="K55" s="655">
        <f>SUM($J$2:J55)</f>
        <v>638.95000000000005</v>
      </c>
      <c r="L55" s="655">
        <f t="shared" si="3"/>
        <v>9518.9500000000007</v>
      </c>
    </row>
    <row r="56" spans="6:12" x14ac:dyDescent="0.25">
      <c r="F56">
        <f t="shared" si="0"/>
        <v>4</v>
      </c>
      <c r="G56">
        <v>55</v>
      </c>
      <c r="H56" s="655">
        <f t="shared" si="4"/>
        <v>20720</v>
      </c>
      <c r="I56" s="655">
        <f t="shared" si="1"/>
        <v>9044.4444444444453</v>
      </c>
      <c r="J56" s="655">
        <f t="shared" si="2"/>
        <v>8.6333333333333346</v>
      </c>
      <c r="K56" s="655">
        <f>SUM($J$2:J56)</f>
        <v>647.58333333333337</v>
      </c>
      <c r="L56" s="655">
        <f t="shared" si="3"/>
        <v>9692.0277777777792</v>
      </c>
    </row>
    <row r="57" spans="6:12" x14ac:dyDescent="0.25">
      <c r="F57">
        <f t="shared" si="0"/>
        <v>4</v>
      </c>
      <c r="G57">
        <v>56</v>
      </c>
      <c r="H57" s="655">
        <f t="shared" si="4"/>
        <v>20555.555555555555</v>
      </c>
      <c r="I57" s="655">
        <f t="shared" si="1"/>
        <v>9208.8888888888905</v>
      </c>
      <c r="J57" s="655">
        <f t="shared" si="2"/>
        <v>8.5648148148148149</v>
      </c>
      <c r="K57" s="655">
        <f>SUM($J$2:J57)</f>
        <v>656.14814814814815</v>
      </c>
      <c r="L57" s="655">
        <f t="shared" si="3"/>
        <v>9865.0370370370383</v>
      </c>
    </row>
    <row r="58" spans="6:12" x14ac:dyDescent="0.25">
      <c r="F58">
        <f t="shared" si="0"/>
        <v>4</v>
      </c>
      <c r="G58">
        <v>57</v>
      </c>
      <c r="H58" s="655">
        <f t="shared" si="4"/>
        <v>20391.111111111109</v>
      </c>
      <c r="I58" s="655">
        <f t="shared" si="1"/>
        <v>9373.3333333333339</v>
      </c>
      <c r="J58" s="655">
        <f t="shared" si="2"/>
        <v>8.4962962962962969</v>
      </c>
      <c r="K58" s="655">
        <f>SUM($J$2:J58)</f>
        <v>664.6444444444445</v>
      </c>
      <c r="L58" s="655">
        <f t="shared" si="3"/>
        <v>10037.977777777778</v>
      </c>
    </row>
    <row r="59" spans="6:12" x14ac:dyDescent="0.25">
      <c r="F59">
        <f t="shared" si="0"/>
        <v>4</v>
      </c>
      <c r="G59">
        <v>58</v>
      </c>
      <c r="H59" s="655">
        <f t="shared" si="4"/>
        <v>20226.666666666664</v>
      </c>
      <c r="I59" s="655">
        <f t="shared" si="1"/>
        <v>9537.7777777777792</v>
      </c>
      <c r="J59" s="655">
        <f t="shared" si="2"/>
        <v>8.4277777777777771</v>
      </c>
      <c r="K59" s="655">
        <f>SUM($J$2:J59)</f>
        <v>673.07222222222231</v>
      </c>
      <c r="L59" s="655">
        <f t="shared" si="3"/>
        <v>10210.850000000002</v>
      </c>
    </row>
    <row r="60" spans="6:12" x14ac:dyDescent="0.25">
      <c r="F60">
        <f t="shared" si="0"/>
        <v>4</v>
      </c>
      <c r="G60">
        <v>59</v>
      </c>
      <c r="H60" s="655">
        <f t="shared" si="4"/>
        <v>20062.222222222219</v>
      </c>
      <c r="I60" s="655">
        <f t="shared" si="1"/>
        <v>9702.2222222222226</v>
      </c>
      <c r="J60" s="655">
        <f t="shared" si="2"/>
        <v>8.3592592592592592</v>
      </c>
      <c r="K60" s="655">
        <f>SUM($J$2:J60)</f>
        <v>681.43148148148157</v>
      </c>
      <c r="L60" s="655">
        <f t="shared" si="3"/>
        <v>10383.653703703705</v>
      </c>
    </row>
    <row r="61" spans="6:12" x14ac:dyDescent="0.25">
      <c r="F61">
        <f t="shared" si="0"/>
        <v>5</v>
      </c>
      <c r="G61">
        <v>60</v>
      </c>
      <c r="H61" s="655">
        <f t="shared" si="4"/>
        <v>19897.777777777777</v>
      </c>
      <c r="I61" s="655">
        <f t="shared" si="1"/>
        <v>9866.6666666666679</v>
      </c>
      <c r="J61" s="655">
        <f t="shared" si="2"/>
        <v>8.2907407407407412</v>
      </c>
      <c r="K61" s="655">
        <f>SUM($J$2:J61)</f>
        <v>689.72222222222229</v>
      </c>
      <c r="L61" s="655">
        <f t="shared" si="3"/>
        <v>10556.388888888891</v>
      </c>
    </row>
    <row r="62" spans="6:12" x14ac:dyDescent="0.25">
      <c r="F62">
        <f t="shared" si="0"/>
        <v>5</v>
      </c>
      <c r="G62">
        <v>61</v>
      </c>
      <c r="H62" s="655">
        <f t="shared" si="4"/>
        <v>19733.333333333332</v>
      </c>
      <c r="I62" s="655">
        <f t="shared" si="1"/>
        <v>10031.111111111111</v>
      </c>
      <c r="J62" s="655">
        <f t="shared" si="2"/>
        <v>8.2222222222222214</v>
      </c>
      <c r="K62" s="655">
        <f>SUM($J$2:J62)</f>
        <v>697.94444444444446</v>
      </c>
      <c r="L62" s="655">
        <f t="shared" si="3"/>
        <v>10729.055555555557</v>
      </c>
    </row>
    <row r="63" spans="6:12" x14ac:dyDescent="0.25">
      <c r="F63">
        <f t="shared" si="0"/>
        <v>5</v>
      </c>
      <c r="G63">
        <v>62</v>
      </c>
      <c r="H63" s="655">
        <f t="shared" si="4"/>
        <v>19568.888888888891</v>
      </c>
      <c r="I63" s="655">
        <f t="shared" si="1"/>
        <v>10195.555555555557</v>
      </c>
      <c r="J63" s="655">
        <f t="shared" si="2"/>
        <v>8.1537037037037052</v>
      </c>
      <c r="K63" s="655">
        <f>SUM($J$2:J63)</f>
        <v>706.0981481481482</v>
      </c>
      <c r="L63" s="655">
        <f t="shared" si="3"/>
        <v>10901.653703703705</v>
      </c>
    </row>
    <row r="64" spans="6:12" x14ac:dyDescent="0.25">
      <c r="F64">
        <f t="shared" si="0"/>
        <v>5</v>
      </c>
      <c r="G64">
        <v>63</v>
      </c>
      <c r="H64" s="655">
        <f t="shared" si="4"/>
        <v>19404.444444444445</v>
      </c>
      <c r="I64" s="655">
        <f t="shared" si="1"/>
        <v>10360</v>
      </c>
      <c r="J64" s="655">
        <f t="shared" si="2"/>
        <v>8.0851851851851855</v>
      </c>
      <c r="K64" s="655">
        <f>SUM($J$2:J64)</f>
        <v>714.18333333333339</v>
      </c>
      <c r="L64" s="655">
        <f t="shared" si="3"/>
        <v>11074.183333333334</v>
      </c>
    </row>
    <row r="65" spans="6:12" x14ac:dyDescent="0.25">
      <c r="F65">
        <f t="shared" si="0"/>
        <v>5</v>
      </c>
      <c r="G65">
        <v>64</v>
      </c>
      <c r="H65" s="655">
        <f t="shared" si="4"/>
        <v>19240</v>
      </c>
      <c r="I65" s="655">
        <f t="shared" si="1"/>
        <v>10524.444444444445</v>
      </c>
      <c r="J65" s="655">
        <f t="shared" si="2"/>
        <v>8.0166666666666675</v>
      </c>
      <c r="K65" s="655">
        <f>SUM($J$2:J65)</f>
        <v>722.2</v>
      </c>
      <c r="L65" s="655">
        <f t="shared" si="3"/>
        <v>11246.644444444446</v>
      </c>
    </row>
    <row r="66" spans="6:12" x14ac:dyDescent="0.25">
      <c r="F66">
        <f t="shared" si="0"/>
        <v>5</v>
      </c>
      <c r="G66">
        <v>65</v>
      </c>
      <c r="H66" s="655">
        <f t="shared" si="4"/>
        <v>19075.555555555555</v>
      </c>
      <c r="I66" s="655">
        <f t="shared" si="1"/>
        <v>10688.888888888891</v>
      </c>
      <c r="J66" s="655">
        <f t="shared" si="2"/>
        <v>7.9481481481481486</v>
      </c>
      <c r="K66" s="655">
        <f>SUM($J$2:J66)</f>
        <v>730.14814814814815</v>
      </c>
      <c r="L66" s="655">
        <f t="shared" si="3"/>
        <v>11419.037037037038</v>
      </c>
    </row>
    <row r="67" spans="6:12" x14ac:dyDescent="0.25">
      <c r="F67">
        <f t="shared" ref="F67:F130" si="5">QUOTIENT(G67,12)</f>
        <v>5</v>
      </c>
      <c r="G67">
        <v>66</v>
      </c>
      <c r="H67" s="655">
        <f t="shared" si="4"/>
        <v>18911.111111111109</v>
      </c>
      <c r="I67" s="655">
        <f t="shared" ref="I67:I130" si="6">G67*$D$9</f>
        <v>10853.333333333334</v>
      </c>
      <c r="J67" s="655">
        <f t="shared" ref="J67:J130" si="7">H67*$D$11</f>
        <v>7.8796296296296298</v>
      </c>
      <c r="K67" s="655">
        <f>SUM($J$2:J67)</f>
        <v>738.02777777777783</v>
      </c>
      <c r="L67" s="655">
        <f t="shared" ref="L67:L130" si="8">I67+K67</f>
        <v>11591.361111111111</v>
      </c>
    </row>
    <row r="68" spans="6:12" x14ac:dyDescent="0.25">
      <c r="F68">
        <f t="shared" si="5"/>
        <v>5</v>
      </c>
      <c r="G68">
        <v>67</v>
      </c>
      <c r="H68" s="655">
        <f t="shared" ref="H68:H131" si="9">$D$6-I67</f>
        <v>18746.666666666664</v>
      </c>
      <c r="I68" s="655">
        <f t="shared" si="6"/>
        <v>11017.777777777779</v>
      </c>
      <c r="J68" s="655">
        <f t="shared" si="7"/>
        <v>7.8111111111111109</v>
      </c>
      <c r="K68" s="655">
        <f>SUM($J$2:J68)</f>
        <v>745.83888888888896</v>
      </c>
      <c r="L68" s="655">
        <f t="shared" si="8"/>
        <v>11763.616666666669</v>
      </c>
    </row>
    <row r="69" spans="6:12" x14ac:dyDescent="0.25">
      <c r="F69">
        <f t="shared" si="5"/>
        <v>5</v>
      </c>
      <c r="G69">
        <v>68</v>
      </c>
      <c r="H69" s="655">
        <f t="shared" si="9"/>
        <v>18582.222222222219</v>
      </c>
      <c r="I69" s="655">
        <f t="shared" si="6"/>
        <v>11182.222222222223</v>
      </c>
      <c r="J69" s="655">
        <f t="shared" si="7"/>
        <v>7.742592592592592</v>
      </c>
      <c r="K69" s="655">
        <f>SUM($J$2:J69)</f>
        <v>753.58148148148155</v>
      </c>
      <c r="L69" s="655">
        <f t="shared" si="8"/>
        <v>11935.803703703705</v>
      </c>
    </row>
    <row r="70" spans="6:12" x14ac:dyDescent="0.25">
      <c r="F70">
        <f t="shared" si="5"/>
        <v>5</v>
      </c>
      <c r="G70">
        <v>69</v>
      </c>
      <c r="H70" s="655">
        <f t="shared" si="9"/>
        <v>18417.777777777777</v>
      </c>
      <c r="I70" s="655">
        <f t="shared" si="6"/>
        <v>11346.666666666668</v>
      </c>
      <c r="J70" s="655">
        <f t="shared" si="7"/>
        <v>7.674074074074074</v>
      </c>
      <c r="K70" s="655">
        <f>SUM($J$2:J70)</f>
        <v>761.25555555555559</v>
      </c>
      <c r="L70" s="655">
        <f t="shared" si="8"/>
        <v>12107.922222222223</v>
      </c>
    </row>
    <row r="71" spans="6:12" x14ac:dyDescent="0.25">
      <c r="F71">
        <f t="shared" si="5"/>
        <v>5</v>
      </c>
      <c r="G71">
        <v>70</v>
      </c>
      <c r="H71" s="655">
        <f t="shared" si="9"/>
        <v>18253.333333333332</v>
      </c>
      <c r="I71" s="655">
        <f t="shared" si="6"/>
        <v>11511.111111111111</v>
      </c>
      <c r="J71" s="655">
        <f t="shared" si="7"/>
        <v>7.6055555555555552</v>
      </c>
      <c r="K71" s="655">
        <f>SUM($J$2:J71)</f>
        <v>768.8611111111112</v>
      </c>
      <c r="L71" s="655">
        <f t="shared" si="8"/>
        <v>12279.972222222223</v>
      </c>
    </row>
    <row r="72" spans="6:12" x14ac:dyDescent="0.25">
      <c r="F72">
        <f t="shared" si="5"/>
        <v>5</v>
      </c>
      <c r="G72">
        <v>71</v>
      </c>
      <c r="H72" s="655">
        <f t="shared" si="9"/>
        <v>18088.888888888891</v>
      </c>
      <c r="I72" s="655">
        <f t="shared" si="6"/>
        <v>11675.555555555557</v>
      </c>
      <c r="J72" s="655">
        <f t="shared" si="7"/>
        <v>7.5370370370370381</v>
      </c>
      <c r="K72" s="655">
        <f>SUM($J$2:J72)</f>
        <v>776.39814814814827</v>
      </c>
      <c r="L72" s="655">
        <f t="shared" si="8"/>
        <v>12451.953703703704</v>
      </c>
    </row>
    <row r="73" spans="6:12" x14ac:dyDescent="0.25">
      <c r="F73">
        <f t="shared" si="5"/>
        <v>6</v>
      </c>
      <c r="G73">
        <v>72</v>
      </c>
      <c r="H73" s="655">
        <f t="shared" si="9"/>
        <v>17924.444444444445</v>
      </c>
      <c r="I73" s="655">
        <f t="shared" si="6"/>
        <v>11840</v>
      </c>
      <c r="J73" s="655">
        <f t="shared" si="7"/>
        <v>7.4685185185185192</v>
      </c>
      <c r="K73" s="655">
        <f>SUM($J$2:J73)</f>
        <v>783.86666666666679</v>
      </c>
      <c r="L73" s="655">
        <f t="shared" si="8"/>
        <v>12623.866666666667</v>
      </c>
    </row>
    <row r="74" spans="6:12" x14ac:dyDescent="0.25">
      <c r="F74">
        <f t="shared" si="5"/>
        <v>6</v>
      </c>
      <c r="G74">
        <v>73</v>
      </c>
      <c r="H74" s="655">
        <f t="shared" si="9"/>
        <v>17760</v>
      </c>
      <c r="I74" s="655">
        <f t="shared" si="6"/>
        <v>12004.444444444445</v>
      </c>
      <c r="J74" s="655">
        <f t="shared" si="7"/>
        <v>7.4</v>
      </c>
      <c r="K74" s="655">
        <f>SUM($J$2:J74)</f>
        <v>791.26666666666677</v>
      </c>
      <c r="L74" s="655">
        <f t="shared" si="8"/>
        <v>12795.711111111112</v>
      </c>
    </row>
    <row r="75" spans="6:12" x14ac:dyDescent="0.25">
      <c r="F75">
        <f t="shared" si="5"/>
        <v>6</v>
      </c>
      <c r="G75">
        <v>74</v>
      </c>
      <c r="H75" s="655">
        <f t="shared" si="9"/>
        <v>17595.555555555555</v>
      </c>
      <c r="I75" s="655">
        <f t="shared" si="6"/>
        <v>12168.888888888891</v>
      </c>
      <c r="J75" s="655">
        <f t="shared" si="7"/>
        <v>7.3314814814814815</v>
      </c>
      <c r="K75" s="655">
        <f>SUM($J$2:J75)</f>
        <v>798.5981481481482</v>
      </c>
      <c r="L75" s="655">
        <f t="shared" si="8"/>
        <v>12967.487037037039</v>
      </c>
    </row>
    <row r="76" spans="6:12" x14ac:dyDescent="0.25">
      <c r="F76">
        <f t="shared" si="5"/>
        <v>6</v>
      </c>
      <c r="G76">
        <v>75</v>
      </c>
      <c r="H76" s="655">
        <f t="shared" si="9"/>
        <v>17431.111111111109</v>
      </c>
      <c r="I76" s="655">
        <f t="shared" si="6"/>
        <v>12333.333333333334</v>
      </c>
      <c r="J76" s="655">
        <f t="shared" si="7"/>
        <v>7.2629629629629626</v>
      </c>
      <c r="K76" s="655">
        <f>SUM($J$2:J76)</f>
        <v>805.8611111111112</v>
      </c>
      <c r="L76" s="655">
        <f t="shared" si="8"/>
        <v>13139.194444444445</v>
      </c>
    </row>
    <row r="77" spans="6:12" x14ac:dyDescent="0.25">
      <c r="F77">
        <f t="shared" si="5"/>
        <v>6</v>
      </c>
      <c r="G77">
        <v>76</v>
      </c>
      <c r="H77" s="655">
        <f t="shared" si="9"/>
        <v>17266.666666666664</v>
      </c>
      <c r="I77" s="655">
        <f t="shared" si="6"/>
        <v>12497.777777777779</v>
      </c>
      <c r="J77" s="655">
        <f t="shared" si="7"/>
        <v>7.1944444444444438</v>
      </c>
      <c r="K77" s="655">
        <f>SUM($J$2:J77)</f>
        <v>813.05555555555566</v>
      </c>
      <c r="L77" s="655">
        <f t="shared" si="8"/>
        <v>13310.833333333336</v>
      </c>
    </row>
    <row r="78" spans="6:12" x14ac:dyDescent="0.25">
      <c r="F78">
        <f t="shared" si="5"/>
        <v>6</v>
      </c>
      <c r="G78">
        <v>77</v>
      </c>
      <c r="H78" s="655">
        <f t="shared" si="9"/>
        <v>17102.222222222219</v>
      </c>
      <c r="I78" s="655">
        <f t="shared" si="6"/>
        <v>12662.222222222223</v>
      </c>
      <c r="J78" s="655">
        <f t="shared" si="7"/>
        <v>7.1259259259259249</v>
      </c>
      <c r="K78" s="655">
        <f>SUM($J$2:J78)</f>
        <v>820.18148148148157</v>
      </c>
      <c r="L78" s="655">
        <f t="shared" si="8"/>
        <v>13482.403703703705</v>
      </c>
    </row>
    <row r="79" spans="6:12" x14ac:dyDescent="0.25">
      <c r="F79">
        <f t="shared" si="5"/>
        <v>6</v>
      </c>
      <c r="G79">
        <v>78</v>
      </c>
      <c r="H79" s="655">
        <f t="shared" si="9"/>
        <v>16937.777777777777</v>
      </c>
      <c r="I79" s="655">
        <f t="shared" si="6"/>
        <v>12826.666666666668</v>
      </c>
      <c r="J79" s="655">
        <f t="shared" si="7"/>
        <v>7.0574074074074078</v>
      </c>
      <c r="K79" s="655">
        <f>SUM($J$2:J79)</f>
        <v>827.23888888888894</v>
      </c>
      <c r="L79" s="655">
        <f t="shared" si="8"/>
        <v>13653.905555555557</v>
      </c>
    </row>
    <row r="80" spans="6:12" x14ac:dyDescent="0.25">
      <c r="F80">
        <f t="shared" si="5"/>
        <v>6</v>
      </c>
      <c r="G80">
        <v>79</v>
      </c>
      <c r="H80" s="655">
        <f t="shared" si="9"/>
        <v>16773.333333333332</v>
      </c>
      <c r="I80" s="655">
        <f t="shared" si="6"/>
        <v>12991.111111111111</v>
      </c>
      <c r="J80" s="655">
        <f t="shared" si="7"/>
        <v>6.9888888888888889</v>
      </c>
      <c r="K80" s="655">
        <f>SUM($J$2:J80)</f>
        <v>834.22777777777787</v>
      </c>
      <c r="L80" s="655">
        <f t="shared" si="8"/>
        <v>13825.338888888889</v>
      </c>
    </row>
    <row r="81" spans="6:12" x14ac:dyDescent="0.25">
      <c r="F81">
        <f t="shared" si="5"/>
        <v>6</v>
      </c>
      <c r="G81">
        <v>80</v>
      </c>
      <c r="H81" s="655">
        <f t="shared" si="9"/>
        <v>16608.888888888891</v>
      </c>
      <c r="I81" s="655">
        <f t="shared" si="6"/>
        <v>13155.555555555557</v>
      </c>
      <c r="J81" s="655">
        <f t="shared" si="7"/>
        <v>6.9203703703703718</v>
      </c>
      <c r="K81" s="655">
        <f>SUM($J$2:J81)</f>
        <v>841.14814814814827</v>
      </c>
      <c r="L81" s="655">
        <f t="shared" si="8"/>
        <v>13996.703703703704</v>
      </c>
    </row>
    <row r="82" spans="6:12" x14ac:dyDescent="0.25">
      <c r="F82">
        <f t="shared" si="5"/>
        <v>6</v>
      </c>
      <c r="G82">
        <v>81</v>
      </c>
      <c r="H82" s="655">
        <f t="shared" si="9"/>
        <v>16444.444444444445</v>
      </c>
      <c r="I82" s="655">
        <f t="shared" si="6"/>
        <v>13320.000000000002</v>
      </c>
      <c r="J82" s="655">
        <f t="shared" si="7"/>
        <v>6.851851851851853</v>
      </c>
      <c r="K82" s="655">
        <f>SUM($J$2:J82)</f>
        <v>848.00000000000011</v>
      </c>
      <c r="L82" s="655">
        <f t="shared" si="8"/>
        <v>14168.000000000002</v>
      </c>
    </row>
    <row r="83" spans="6:12" x14ac:dyDescent="0.25">
      <c r="F83">
        <f t="shared" si="5"/>
        <v>6</v>
      </c>
      <c r="G83">
        <v>82</v>
      </c>
      <c r="H83" s="655">
        <f t="shared" si="9"/>
        <v>16279.999999999998</v>
      </c>
      <c r="I83" s="655">
        <f t="shared" si="6"/>
        <v>13484.444444444445</v>
      </c>
      <c r="J83" s="655">
        <f t="shared" si="7"/>
        <v>6.7833333333333332</v>
      </c>
      <c r="K83" s="655">
        <f>SUM($J$2:J83)</f>
        <v>854.78333333333342</v>
      </c>
      <c r="L83" s="655">
        <f t="shared" si="8"/>
        <v>14339.227777777778</v>
      </c>
    </row>
    <row r="84" spans="6:12" x14ac:dyDescent="0.25">
      <c r="F84">
        <f t="shared" si="5"/>
        <v>6</v>
      </c>
      <c r="G84">
        <v>83</v>
      </c>
      <c r="H84" s="655">
        <f t="shared" si="9"/>
        <v>16115.555555555555</v>
      </c>
      <c r="I84" s="655">
        <f t="shared" si="6"/>
        <v>13648.888888888891</v>
      </c>
      <c r="J84" s="655">
        <f t="shared" si="7"/>
        <v>6.7148148148148152</v>
      </c>
      <c r="K84" s="655">
        <f>SUM($J$2:J84)</f>
        <v>861.49814814814818</v>
      </c>
      <c r="L84" s="655">
        <f t="shared" si="8"/>
        <v>14510.387037037039</v>
      </c>
    </row>
    <row r="85" spans="6:12" x14ac:dyDescent="0.25">
      <c r="F85">
        <f t="shared" si="5"/>
        <v>7</v>
      </c>
      <c r="G85">
        <v>84</v>
      </c>
      <c r="H85" s="655">
        <f t="shared" si="9"/>
        <v>15951.111111111109</v>
      </c>
      <c r="I85" s="655">
        <f t="shared" si="6"/>
        <v>13813.333333333334</v>
      </c>
      <c r="J85" s="655">
        <f t="shared" si="7"/>
        <v>6.6462962962962964</v>
      </c>
      <c r="K85" s="655">
        <f>SUM($J$2:J85)</f>
        <v>868.1444444444445</v>
      </c>
      <c r="L85" s="655">
        <f t="shared" si="8"/>
        <v>14681.477777777778</v>
      </c>
    </row>
    <row r="86" spans="6:12" x14ac:dyDescent="0.25">
      <c r="F86">
        <f t="shared" si="5"/>
        <v>7</v>
      </c>
      <c r="G86">
        <v>85</v>
      </c>
      <c r="H86" s="655">
        <f t="shared" si="9"/>
        <v>15786.666666666666</v>
      </c>
      <c r="I86" s="655">
        <f t="shared" si="6"/>
        <v>13977.777777777779</v>
      </c>
      <c r="J86" s="655">
        <f t="shared" si="7"/>
        <v>6.5777777777777784</v>
      </c>
      <c r="K86" s="655">
        <f>SUM($J$2:J86)</f>
        <v>874.72222222222229</v>
      </c>
      <c r="L86" s="655">
        <f t="shared" si="8"/>
        <v>14852.500000000002</v>
      </c>
    </row>
    <row r="87" spans="6:12" x14ac:dyDescent="0.25">
      <c r="F87">
        <f t="shared" si="5"/>
        <v>7</v>
      </c>
      <c r="G87">
        <v>86</v>
      </c>
      <c r="H87" s="655">
        <f t="shared" si="9"/>
        <v>15622.222222222221</v>
      </c>
      <c r="I87" s="655">
        <f t="shared" si="6"/>
        <v>14142.222222222223</v>
      </c>
      <c r="J87" s="655">
        <f t="shared" si="7"/>
        <v>6.5092592592592595</v>
      </c>
      <c r="K87" s="655">
        <f>SUM($J$2:J87)</f>
        <v>881.23148148148152</v>
      </c>
      <c r="L87" s="655">
        <f t="shared" si="8"/>
        <v>15023.453703703704</v>
      </c>
    </row>
    <row r="88" spans="6:12" x14ac:dyDescent="0.25">
      <c r="F88">
        <f t="shared" si="5"/>
        <v>7</v>
      </c>
      <c r="G88">
        <v>87</v>
      </c>
      <c r="H88" s="655">
        <f t="shared" si="9"/>
        <v>15457.777777777777</v>
      </c>
      <c r="I88" s="655">
        <f t="shared" si="6"/>
        <v>14306.666666666668</v>
      </c>
      <c r="J88" s="655">
        <f t="shared" si="7"/>
        <v>6.4407407407407407</v>
      </c>
      <c r="K88" s="655">
        <f>SUM($J$2:J88)</f>
        <v>887.67222222222222</v>
      </c>
      <c r="L88" s="655">
        <f t="shared" si="8"/>
        <v>15194.338888888889</v>
      </c>
    </row>
    <row r="89" spans="6:12" x14ac:dyDescent="0.25">
      <c r="F89">
        <f t="shared" si="5"/>
        <v>7</v>
      </c>
      <c r="G89">
        <v>88</v>
      </c>
      <c r="H89" s="655">
        <f t="shared" si="9"/>
        <v>15293.333333333332</v>
      </c>
      <c r="I89" s="655">
        <f t="shared" si="6"/>
        <v>14471.111111111113</v>
      </c>
      <c r="J89" s="655">
        <f t="shared" si="7"/>
        <v>6.3722222222222218</v>
      </c>
      <c r="K89" s="655">
        <f>SUM($J$2:J89)</f>
        <v>894.04444444444448</v>
      </c>
      <c r="L89" s="655">
        <f t="shared" si="8"/>
        <v>15365.155555555557</v>
      </c>
    </row>
    <row r="90" spans="6:12" x14ac:dyDescent="0.25">
      <c r="F90">
        <f t="shared" si="5"/>
        <v>7</v>
      </c>
      <c r="G90">
        <v>89</v>
      </c>
      <c r="H90" s="655">
        <f t="shared" si="9"/>
        <v>15128.888888888887</v>
      </c>
      <c r="I90" s="655">
        <f t="shared" si="6"/>
        <v>14635.555555555557</v>
      </c>
      <c r="J90" s="655">
        <f t="shared" si="7"/>
        <v>6.3037037037037029</v>
      </c>
      <c r="K90" s="655">
        <f>SUM($J$2:J90)</f>
        <v>900.3481481481482</v>
      </c>
      <c r="L90" s="655">
        <f t="shared" si="8"/>
        <v>15535.903703703705</v>
      </c>
    </row>
    <row r="91" spans="6:12" x14ac:dyDescent="0.25">
      <c r="F91">
        <f t="shared" si="5"/>
        <v>7</v>
      </c>
      <c r="G91">
        <v>90</v>
      </c>
      <c r="H91" s="655">
        <f t="shared" si="9"/>
        <v>14964.444444444443</v>
      </c>
      <c r="I91" s="655">
        <f t="shared" si="6"/>
        <v>14800.000000000002</v>
      </c>
      <c r="J91" s="655">
        <f t="shared" si="7"/>
        <v>6.2351851851851849</v>
      </c>
      <c r="K91" s="655">
        <f>SUM($J$2:J91)</f>
        <v>906.58333333333337</v>
      </c>
      <c r="L91" s="655">
        <f t="shared" si="8"/>
        <v>15706.583333333336</v>
      </c>
    </row>
    <row r="92" spans="6:12" x14ac:dyDescent="0.25">
      <c r="F92">
        <f t="shared" si="5"/>
        <v>7</v>
      </c>
      <c r="G92">
        <v>91</v>
      </c>
      <c r="H92" s="655">
        <f t="shared" si="9"/>
        <v>14799.999999999998</v>
      </c>
      <c r="I92" s="655">
        <f t="shared" si="6"/>
        <v>14964.444444444445</v>
      </c>
      <c r="J92" s="655">
        <f t="shared" si="7"/>
        <v>6.1666666666666661</v>
      </c>
      <c r="K92" s="655">
        <f>SUM($J$2:J92)</f>
        <v>912.75</v>
      </c>
      <c r="L92" s="655">
        <f t="shared" si="8"/>
        <v>15877.194444444445</v>
      </c>
    </row>
    <row r="93" spans="6:12" x14ac:dyDescent="0.25">
      <c r="F93">
        <f t="shared" si="5"/>
        <v>7</v>
      </c>
      <c r="G93">
        <v>92</v>
      </c>
      <c r="H93" s="655">
        <f t="shared" si="9"/>
        <v>14635.555555555555</v>
      </c>
      <c r="I93" s="655">
        <f t="shared" si="6"/>
        <v>15128.888888888891</v>
      </c>
      <c r="J93" s="655">
        <f t="shared" si="7"/>
        <v>6.0981481481481481</v>
      </c>
      <c r="K93" s="655">
        <f>SUM($J$2:J93)</f>
        <v>918.8481481481482</v>
      </c>
      <c r="L93" s="655">
        <f t="shared" si="8"/>
        <v>16047.737037037039</v>
      </c>
    </row>
    <row r="94" spans="6:12" x14ac:dyDescent="0.25">
      <c r="F94">
        <f t="shared" si="5"/>
        <v>7</v>
      </c>
      <c r="G94">
        <v>93</v>
      </c>
      <c r="H94" s="655">
        <f t="shared" si="9"/>
        <v>14471.111111111109</v>
      </c>
      <c r="I94" s="655">
        <f t="shared" si="6"/>
        <v>15293.333333333334</v>
      </c>
      <c r="J94" s="655">
        <f t="shared" si="7"/>
        <v>6.0296296296296292</v>
      </c>
      <c r="K94" s="655">
        <f>SUM($J$2:J94)</f>
        <v>924.87777777777785</v>
      </c>
      <c r="L94" s="655">
        <f t="shared" si="8"/>
        <v>16218.211111111112</v>
      </c>
    </row>
    <row r="95" spans="6:12" x14ac:dyDescent="0.25">
      <c r="F95">
        <f t="shared" si="5"/>
        <v>7</v>
      </c>
      <c r="G95">
        <v>94</v>
      </c>
      <c r="H95" s="655">
        <f t="shared" si="9"/>
        <v>14306.666666666666</v>
      </c>
      <c r="I95" s="655">
        <f t="shared" si="6"/>
        <v>15457.777777777779</v>
      </c>
      <c r="J95" s="655">
        <f t="shared" si="7"/>
        <v>5.9611111111111112</v>
      </c>
      <c r="K95" s="655">
        <f>SUM($J$2:J95)</f>
        <v>930.83888888888896</v>
      </c>
      <c r="L95" s="655">
        <f t="shared" si="8"/>
        <v>16388.616666666669</v>
      </c>
    </row>
    <row r="96" spans="6:12" x14ac:dyDescent="0.25">
      <c r="F96">
        <f t="shared" si="5"/>
        <v>7</v>
      </c>
      <c r="G96">
        <v>95</v>
      </c>
      <c r="H96" s="655">
        <f t="shared" si="9"/>
        <v>14142.222222222221</v>
      </c>
      <c r="I96" s="655">
        <f t="shared" si="6"/>
        <v>15622.222222222223</v>
      </c>
      <c r="J96" s="655">
        <f t="shared" si="7"/>
        <v>5.8925925925925924</v>
      </c>
      <c r="K96" s="655">
        <f>SUM($J$2:J96)</f>
        <v>936.73148148148152</v>
      </c>
      <c r="L96" s="655">
        <f t="shared" si="8"/>
        <v>16558.953703703704</v>
      </c>
    </row>
    <row r="97" spans="6:12" x14ac:dyDescent="0.25">
      <c r="F97">
        <f t="shared" si="5"/>
        <v>8</v>
      </c>
      <c r="G97">
        <v>96</v>
      </c>
      <c r="H97" s="655">
        <f t="shared" si="9"/>
        <v>13977.777777777777</v>
      </c>
      <c r="I97" s="655">
        <f t="shared" si="6"/>
        <v>15786.666666666668</v>
      </c>
      <c r="J97" s="655">
        <f t="shared" si="7"/>
        <v>5.8240740740740744</v>
      </c>
      <c r="K97" s="655">
        <f>SUM($J$2:J97)</f>
        <v>942.55555555555554</v>
      </c>
      <c r="L97" s="655">
        <f t="shared" si="8"/>
        <v>16729.222222222223</v>
      </c>
    </row>
    <row r="98" spans="6:12" x14ac:dyDescent="0.25">
      <c r="F98">
        <f t="shared" si="5"/>
        <v>8</v>
      </c>
      <c r="G98">
        <v>97</v>
      </c>
      <c r="H98" s="655">
        <f t="shared" si="9"/>
        <v>13813.333333333332</v>
      </c>
      <c r="I98" s="655">
        <f t="shared" si="6"/>
        <v>15951.111111111113</v>
      </c>
      <c r="J98" s="655">
        <f t="shared" si="7"/>
        <v>5.7555555555555555</v>
      </c>
      <c r="K98" s="655">
        <f>SUM($J$2:J98)</f>
        <v>948.31111111111113</v>
      </c>
      <c r="L98" s="655">
        <f t="shared" si="8"/>
        <v>16899.422222222223</v>
      </c>
    </row>
    <row r="99" spans="6:12" x14ac:dyDescent="0.25">
      <c r="F99">
        <f t="shared" si="5"/>
        <v>8</v>
      </c>
      <c r="G99">
        <v>98</v>
      </c>
      <c r="H99" s="655">
        <f t="shared" si="9"/>
        <v>13648.888888888887</v>
      </c>
      <c r="I99" s="655">
        <f t="shared" si="6"/>
        <v>16115.555555555557</v>
      </c>
      <c r="J99" s="655">
        <f t="shared" si="7"/>
        <v>5.6870370370370367</v>
      </c>
      <c r="K99" s="655">
        <f>SUM($J$2:J99)</f>
        <v>953.99814814814818</v>
      </c>
      <c r="L99" s="655">
        <f t="shared" si="8"/>
        <v>17069.553703703707</v>
      </c>
    </row>
    <row r="100" spans="6:12" x14ac:dyDescent="0.25">
      <c r="F100">
        <f t="shared" si="5"/>
        <v>8</v>
      </c>
      <c r="G100">
        <v>99</v>
      </c>
      <c r="H100" s="655">
        <f t="shared" si="9"/>
        <v>13484.444444444443</v>
      </c>
      <c r="I100" s="655">
        <f t="shared" si="6"/>
        <v>16280.000000000002</v>
      </c>
      <c r="J100" s="655">
        <f t="shared" si="7"/>
        <v>5.6185185185185187</v>
      </c>
      <c r="K100" s="655">
        <f>SUM($J$2:J100)</f>
        <v>959.61666666666667</v>
      </c>
      <c r="L100" s="655">
        <f t="shared" si="8"/>
        <v>17239.616666666669</v>
      </c>
    </row>
    <row r="101" spans="6:12" x14ac:dyDescent="0.25">
      <c r="F101">
        <f t="shared" si="5"/>
        <v>8</v>
      </c>
      <c r="G101">
        <v>100</v>
      </c>
      <c r="H101" s="655">
        <f t="shared" si="9"/>
        <v>13319.999999999998</v>
      </c>
      <c r="I101" s="655">
        <f t="shared" si="6"/>
        <v>16444.444444444445</v>
      </c>
      <c r="J101" s="655">
        <f t="shared" si="7"/>
        <v>5.55</v>
      </c>
      <c r="K101" s="655">
        <f>SUM($J$2:J101)</f>
        <v>965.16666666666663</v>
      </c>
      <c r="L101" s="655">
        <f t="shared" si="8"/>
        <v>17409.611111111113</v>
      </c>
    </row>
    <row r="102" spans="6:12" x14ac:dyDescent="0.25">
      <c r="F102">
        <f t="shared" si="5"/>
        <v>8</v>
      </c>
      <c r="G102">
        <v>101</v>
      </c>
      <c r="H102" s="655">
        <f t="shared" si="9"/>
        <v>13155.555555555555</v>
      </c>
      <c r="I102" s="655">
        <f t="shared" si="6"/>
        <v>16608.888888888891</v>
      </c>
      <c r="J102" s="655">
        <f t="shared" si="7"/>
        <v>5.4814814814814818</v>
      </c>
      <c r="K102" s="655">
        <f>SUM($J$2:J102)</f>
        <v>970.64814814814815</v>
      </c>
      <c r="L102" s="655">
        <f t="shared" si="8"/>
        <v>17579.53703703704</v>
      </c>
    </row>
    <row r="103" spans="6:12" x14ac:dyDescent="0.25">
      <c r="F103">
        <f t="shared" si="5"/>
        <v>8</v>
      </c>
      <c r="G103">
        <v>102</v>
      </c>
      <c r="H103" s="655">
        <f t="shared" si="9"/>
        <v>12991.111111111109</v>
      </c>
      <c r="I103" s="655">
        <f t="shared" si="6"/>
        <v>16773.333333333336</v>
      </c>
      <c r="J103" s="655">
        <f t="shared" si="7"/>
        <v>5.412962962962963</v>
      </c>
      <c r="K103" s="655">
        <f>SUM($J$2:J103)</f>
        <v>976.06111111111113</v>
      </c>
      <c r="L103" s="655">
        <f t="shared" si="8"/>
        <v>17749.394444444446</v>
      </c>
    </row>
    <row r="104" spans="6:12" x14ac:dyDescent="0.25">
      <c r="F104">
        <f t="shared" si="5"/>
        <v>8</v>
      </c>
      <c r="G104">
        <v>103</v>
      </c>
      <c r="H104" s="655">
        <f t="shared" si="9"/>
        <v>12826.666666666664</v>
      </c>
      <c r="I104" s="655">
        <f t="shared" si="6"/>
        <v>16937.777777777777</v>
      </c>
      <c r="J104" s="655">
        <f t="shared" si="7"/>
        <v>5.3444444444444441</v>
      </c>
      <c r="K104" s="655">
        <f>SUM($J$2:J104)</f>
        <v>981.40555555555557</v>
      </c>
      <c r="L104" s="655">
        <f t="shared" si="8"/>
        <v>17919.183333333334</v>
      </c>
    </row>
    <row r="105" spans="6:12" x14ac:dyDescent="0.25">
      <c r="F105">
        <f t="shared" si="5"/>
        <v>8</v>
      </c>
      <c r="G105">
        <v>104</v>
      </c>
      <c r="H105" s="655">
        <f t="shared" si="9"/>
        <v>12662.222222222223</v>
      </c>
      <c r="I105" s="655">
        <f t="shared" si="6"/>
        <v>17102.222222222223</v>
      </c>
      <c r="J105" s="655">
        <f t="shared" si="7"/>
        <v>5.2759259259259261</v>
      </c>
      <c r="K105" s="655">
        <f>SUM($J$2:J105)</f>
        <v>986.68148148148146</v>
      </c>
      <c r="L105" s="655">
        <f t="shared" si="8"/>
        <v>18088.903703703705</v>
      </c>
    </row>
    <row r="106" spans="6:12" x14ac:dyDescent="0.25">
      <c r="F106">
        <f t="shared" si="5"/>
        <v>8</v>
      </c>
      <c r="G106">
        <v>105</v>
      </c>
      <c r="H106" s="655">
        <f t="shared" si="9"/>
        <v>12497.777777777777</v>
      </c>
      <c r="I106" s="655">
        <f t="shared" si="6"/>
        <v>17266.666666666668</v>
      </c>
      <c r="J106" s="655">
        <f t="shared" si="7"/>
        <v>5.2074074074074073</v>
      </c>
      <c r="K106" s="655">
        <f>SUM($J$2:J106)</f>
        <v>991.88888888888891</v>
      </c>
      <c r="L106" s="655">
        <f t="shared" si="8"/>
        <v>18258.555555555558</v>
      </c>
    </row>
    <row r="107" spans="6:12" x14ac:dyDescent="0.25">
      <c r="F107">
        <f t="shared" si="5"/>
        <v>8</v>
      </c>
      <c r="G107">
        <v>106</v>
      </c>
      <c r="H107" s="655">
        <f t="shared" si="9"/>
        <v>12333.333333333332</v>
      </c>
      <c r="I107" s="655">
        <f t="shared" si="6"/>
        <v>17431.111111111113</v>
      </c>
      <c r="J107" s="655">
        <f t="shared" si="7"/>
        <v>5.1388888888888884</v>
      </c>
      <c r="K107" s="655">
        <f>SUM($J$2:J107)</f>
        <v>997.02777777777783</v>
      </c>
      <c r="L107" s="655">
        <f t="shared" si="8"/>
        <v>18428.138888888891</v>
      </c>
    </row>
    <row r="108" spans="6:12" x14ac:dyDescent="0.25">
      <c r="F108">
        <f t="shared" si="5"/>
        <v>8</v>
      </c>
      <c r="G108">
        <v>107</v>
      </c>
      <c r="H108" s="655">
        <f t="shared" si="9"/>
        <v>12168.888888888887</v>
      </c>
      <c r="I108" s="655">
        <f t="shared" si="6"/>
        <v>17595.555555555558</v>
      </c>
      <c r="J108" s="655">
        <f t="shared" si="7"/>
        <v>5.0703703703703695</v>
      </c>
      <c r="K108" s="655">
        <f>SUM($J$2:J108)</f>
        <v>1002.0981481481482</v>
      </c>
      <c r="L108" s="655">
        <f t="shared" si="8"/>
        <v>18597.653703703705</v>
      </c>
    </row>
    <row r="109" spans="6:12" x14ac:dyDescent="0.25">
      <c r="F109">
        <f t="shared" si="5"/>
        <v>9</v>
      </c>
      <c r="G109">
        <v>108</v>
      </c>
      <c r="H109" s="655">
        <f t="shared" si="9"/>
        <v>12004.444444444442</v>
      </c>
      <c r="I109" s="655">
        <f t="shared" si="6"/>
        <v>17760</v>
      </c>
      <c r="J109" s="655">
        <f t="shared" si="7"/>
        <v>5.0018518518518507</v>
      </c>
      <c r="K109" s="655">
        <f>SUM($J$2:J109)</f>
        <v>1007.1</v>
      </c>
      <c r="L109" s="655">
        <f t="shared" si="8"/>
        <v>18767.099999999999</v>
      </c>
    </row>
    <row r="110" spans="6:12" x14ac:dyDescent="0.25">
      <c r="F110">
        <f t="shared" si="5"/>
        <v>9</v>
      </c>
      <c r="G110">
        <v>109</v>
      </c>
      <c r="H110" s="655">
        <f t="shared" si="9"/>
        <v>11840</v>
      </c>
      <c r="I110" s="655">
        <f t="shared" si="6"/>
        <v>17924.444444444445</v>
      </c>
      <c r="J110" s="655">
        <f t="shared" si="7"/>
        <v>4.9333333333333336</v>
      </c>
      <c r="K110" s="655">
        <f>SUM($J$2:J110)</f>
        <v>1012.0333333333333</v>
      </c>
      <c r="L110" s="655">
        <f t="shared" si="8"/>
        <v>18936.477777777778</v>
      </c>
    </row>
    <row r="111" spans="6:12" x14ac:dyDescent="0.25">
      <c r="F111">
        <f t="shared" si="5"/>
        <v>9</v>
      </c>
      <c r="G111">
        <v>110</v>
      </c>
      <c r="H111" s="655">
        <f t="shared" si="9"/>
        <v>11675.555555555555</v>
      </c>
      <c r="I111" s="655">
        <f t="shared" si="6"/>
        <v>18088.888888888891</v>
      </c>
      <c r="J111" s="655">
        <f t="shared" si="7"/>
        <v>4.8648148148148147</v>
      </c>
      <c r="K111" s="655">
        <f>SUM($J$2:J111)</f>
        <v>1016.8981481481482</v>
      </c>
      <c r="L111" s="655">
        <f t="shared" si="8"/>
        <v>19105.78703703704</v>
      </c>
    </row>
    <row r="112" spans="6:12" x14ac:dyDescent="0.25">
      <c r="F112">
        <f t="shared" si="5"/>
        <v>9</v>
      </c>
      <c r="G112">
        <v>111</v>
      </c>
      <c r="H112" s="655">
        <f t="shared" si="9"/>
        <v>11511.111111111109</v>
      </c>
      <c r="I112" s="655">
        <f t="shared" si="6"/>
        <v>18253.333333333336</v>
      </c>
      <c r="J112" s="655">
        <f t="shared" si="7"/>
        <v>4.7962962962962958</v>
      </c>
      <c r="K112" s="655">
        <f>SUM($J$2:J112)</f>
        <v>1021.6944444444445</v>
      </c>
      <c r="L112" s="655">
        <f t="shared" si="8"/>
        <v>19275.027777777781</v>
      </c>
    </row>
    <row r="113" spans="6:12" x14ac:dyDescent="0.25">
      <c r="F113">
        <f t="shared" si="5"/>
        <v>9</v>
      </c>
      <c r="G113">
        <v>112</v>
      </c>
      <c r="H113" s="655">
        <f t="shared" si="9"/>
        <v>11346.666666666664</v>
      </c>
      <c r="I113" s="655">
        <f t="shared" si="6"/>
        <v>18417.777777777781</v>
      </c>
      <c r="J113" s="655">
        <f t="shared" si="7"/>
        <v>4.727777777777777</v>
      </c>
      <c r="K113" s="655">
        <f>SUM($J$2:J113)</f>
        <v>1026.4222222222222</v>
      </c>
      <c r="L113" s="655">
        <f t="shared" si="8"/>
        <v>19444.200000000004</v>
      </c>
    </row>
    <row r="114" spans="6:12" x14ac:dyDescent="0.25">
      <c r="F114">
        <f t="shared" si="5"/>
        <v>9</v>
      </c>
      <c r="G114">
        <v>113</v>
      </c>
      <c r="H114" s="655">
        <f t="shared" si="9"/>
        <v>11182.222222222219</v>
      </c>
      <c r="I114" s="655">
        <f t="shared" si="6"/>
        <v>18582.222222222223</v>
      </c>
      <c r="J114" s="655">
        <f t="shared" si="7"/>
        <v>4.6592592592592581</v>
      </c>
      <c r="K114" s="655">
        <f>SUM($J$2:J114)</f>
        <v>1031.0814814814814</v>
      </c>
      <c r="L114" s="655">
        <f t="shared" si="8"/>
        <v>19613.303703703703</v>
      </c>
    </row>
    <row r="115" spans="6:12" x14ac:dyDescent="0.25">
      <c r="F115">
        <f t="shared" si="5"/>
        <v>9</v>
      </c>
      <c r="G115">
        <v>114</v>
      </c>
      <c r="H115" s="655">
        <f t="shared" si="9"/>
        <v>11017.777777777777</v>
      </c>
      <c r="I115" s="655">
        <f t="shared" si="6"/>
        <v>18746.666666666668</v>
      </c>
      <c r="J115" s="655">
        <f t="shared" si="7"/>
        <v>4.590740740740741</v>
      </c>
      <c r="K115" s="655">
        <f>SUM($J$2:J115)</f>
        <v>1035.6722222222222</v>
      </c>
      <c r="L115" s="655">
        <f t="shared" si="8"/>
        <v>19782.338888888891</v>
      </c>
    </row>
    <row r="116" spans="6:12" x14ac:dyDescent="0.25">
      <c r="F116">
        <f t="shared" si="5"/>
        <v>9</v>
      </c>
      <c r="G116">
        <v>115</v>
      </c>
      <c r="H116" s="655">
        <f t="shared" si="9"/>
        <v>10853.333333333332</v>
      </c>
      <c r="I116" s="655">
        <f t="shared" si="6"/>
        <v>18911.111111111113</v>
      </c>
      <c r="J116" s="655">
        <f t="shared" si="7"/>
        <v>4.5222222222222221</v>
      </c>
      <c r="K116" s="655">
        <f>SUM($J$2:J116)</f>
        <v>1040.1944444444443</v>
      </c>
      <c r="L116" s="655">
        <f t="shared" si="8"/>
        <v>19951.305555555558</v>
      </c>
    </row>
    <row r="117" spans="6:12" x14ac:dyDescent="0.25">
      <c r="F117">
        <f t="shared" si="5"/>
        <v>9</v>
      </c>
      <c r="G117">
        <v>116</v>
      </c>
      <c r="H117" s="655">
        <f t="shared" si="9"/>
        <v>10688.888888888887</v>
      </c>
      <c r="I117" s="655">
        <f t="shared" si="6"/>
        <v>19075.555555555558</v>
      </c>
      <c r="J117" s="655">
        <f t="shared" si="7"/>
        <v>4.4537037037037033</v>
      </c>
      <c r="K117" s="655">
        <f>SUM($J$2:J117)</f>
        <v>1044.648148148148</v>
      </c>
      <c r="L117" s="655">
        <f t="shared" si="8"/>
        <v>20120.203703703708</v>
      </c>
    </row>
    <row r="118" spans="6:12" x14ac:dyDescent="0.25">
      <c r="F118">
        <f t="shared" si="5"/>
        <v>9</v>
      </c>
      <c r="G118">
        <v>117</v>
      </c>
      <c r="H118" s="655">
        <f t="shared" si="9"/>
        <v>10524.444444444442</v>
      </c>
      <c r="I118" s="655">
        <f t="shared" si="6"/>
        <v>19240</v>
      </c>
      <c r="J118" s="655">
        <f t="shared" si="7"/>
        <v>4.3851851851851844</v>
      </c>
      <c r="K118" s="655">
        <f>SUM($J$2:J118)</f>
        <v>1049.0333333333333</v>
      </c>
      <c r="L118" s="655">
        <f t="shared" si="8"/>
        <v>20289.033333333333</v>
      </c>
    </row>
    <row r="119" spans="6:12" x14ac:dyDescent="0.25">
      <c r="F119">
        <f t="shared" si="5"/>
        <v>9</v>
      </c>
      <c r="G119">
        <v>118</v>
      </c>
      <c r="H119" s="655">
        <f t="shared" si="9"/>
        <v>10360</v>
      </c>
      <c r="I119" s="655">
        <f t="shared" si="6"/>
        <v>19404.444444444445</v>
      </c>
      <c r="J119" s="655">
        <f t="shared" si="7"/>
        <v>4.3166666666666673</v>
      </c>
      <c r="K119" s="655">
        <f>SUM($J$2:J119)</f>
        <v>1053.3499999999999</v>
      </c>
      <c r="L119" s="655">
        <f t="shared" si="8"/>
        <v>20457.794444444444</v>
      </c>
    </row>
    <row r="120" spans="6:12" x14ac:dyDescent="0.25">
      <c r="F120">
        <f t="shared" si="5"/>
        <v>9</v>
      </c>
      <c r="G120">
        <v>119</v>
      </c>
      <c r="H120" s="655">
        <f t="shared" si="9"/>
        <v>10195.555555555555</v>
      </c>
      <c r="I120" s="655">
        <f t="shared" si="6"/>
        <v>19568.888888888891</v>
      </c>
      <c r="J120" s="655">
        <f t="shared" si="7"/>
        <v>4.2481481481481485</v>
      </c>
      <c r="K120" s="655">
        <f>SUM($J$2:J120)</f>
        <v>1057.5981481481481</v>
      </c>
      <c r="L120" s="655">
        <f t="shared" si="8"/>
        <v>20626.487037037037</v>
      </c>
    </row>
    <row r="121" spans="6:12" x14ac:dyDescent="0.25">
      <c r="F121">
        <f t="shared" si="5"/>
        <v>10</v>
      </c>
      <c r="G121">
        <v>120</v>
      </c>
      <c r="H121" s="655">
        <f t="shared" si="9"/>
        <v>10031.111111111109</v>
      </c>
      <c r="I121" s="655">
        <f t="shared" si="6"/>
        <v>19733.333333333336</v>
      </c>
      <c r="J121" s="655">
        <f t="shared" si="7"/>
        <v>4.1796296296296296</v>
      </c>
      <c r="K121" s="655">
        <f>SUM($J$2:J121)</f>
        <v>1061.7777777777776</v>
      </c>
      <c r="L121" s="655">
        <f t="shared" si="8"/>
        <v>20795.111111111113</v>
      </c>
    </row>
    <row r="122" spans="6:12" x14ac:dyDescent="0.25">
      <c r="F122">
        <f t="shared" si="5"/>
        <v>10</v>
      </c>
      <c r="G122">
        <v>121</v>
      </c>
      <c r="H122" s="655">
        <f t="shared" si="9"/>
        <v>9866.6666666666642</v>
      </c>
      <c r="I122" s="655">
        <f t="shared" si="6"/>
        <v>19897.777777777781</v>
      </c>
      <c r="J122" s="655">
        <f t="shared" si="7"/>
        <v>4.1111111111111107</v>
      </c>
      <c r="K122" s="655">
        <f>SUM($J$2:J122)</f>
        <v>1065.8888888888887</v>
      </c>
      <c r="L122" s="655">
        <f t="shared" si="8"/>
        <v>20963.666666666672</v>
      </c>
    </row>
    <row r="123" spans="6:12" x14ac:dyDescent="0.25">
      <c r="F123">
        <f t="shared" si="5"/>
        <v>10</v>
      </c>
      <c r="G123">
        <v>122</v>
      </c>
      <c r="H123" s="655">
        <f t="shared" si="9"/>
        <v>9702.222222222219</v>
      </c>
      <c r="I123" s="655">
        <f t="shared" si="6"/>
        <v>20062.222222222223</v>
      </c>
      <c r="J123" s="655">
        <f t="shared" si="7"/>
        <v>4.0425925925925918</v>
      </c>
      <c r="K123" s="655">
        <f>SUM($J$2:J123)</f>
        <v>1069.9314814814813</v>
      </c>
      <c r="L123" s="655">
        <f t="shared" si="8"/>
        <v>21132.153703703705</v>
      </c>
    </row>
    <row r="124" spans="6:12" x14ac:dyDescent="0.25">
      <c r="F124">
        <f t="shared" si="5"/>
        <v>10</v>
      </c>
      <c r="G124">
        <v>123</v>
      </c>
      <c r="H124" s="655">
        <f t="shared" si="9"/>
        <v>9537.7777777777774</v>
      </c>
      <c r="I124" s="655">
        <f t="shared" si="6"/>
        <v>20226.666666666668</v>
      </c>
      <c r="J124" s="655">
        <f t="shared" si="7"/>
        <v>3.9740740740740743</v>
      </c>
      <c r="K124" s="655">
        <f>SUM($J$2:J124)</f>
        <v>1073.9055555555553</v>
      </c>
      <c r="L124" s="655">
        <f t="shared" si="8"/>
        <v>21300.572222222225</v>
      </c>
    </row>
    <row r="125" spans="6:12" x14ac:dyDescent="0.25">
      <c r="F125">
        <f t="shared" si="5"/>
        <v>10</v>
      </c>
      <c r="G125">
        <v>124</v>
      </c>
      <c r="H125" s="655">
        <f t="shared" si="9"/>
        <v>9373.3333333333321</v>
      </c>
      <c r="I125" s="655">
        <f t="shared" si="6"/>
        <v>20391.111111111113</v>
      </c>
      <c r="J125" s="655">
        <f t="shared" si="7"/>
        <v>3.9055555555555554</v>
      </c>
      <c r="K125" s="655">
        <f>SUM($J$2:J125)</f>
        <v>1077.8111111111109</v>
      </c>
      <c r="L125" s="655">
        <f t="shared" si="8"/>
        <v>21468.922222222223</v>
      </c>
    </row>
    <row r="126" spans="6:12" x14ac:dyDescent="0.25">
      <c r="F126">
        <f t="shared" si="5"/>
        <v>10</v>
      </c>
      <c r="G126">
        <v>125</v>
      </c>
      <c r="H126" s="655">
        <f t="shared" si="9"/>
        <v>9208.8888888888869</v>
      </c>
      <c r="I126" s="655">
        <f t="shared" si="6"/>
        <v>20555.555555555558</v>
      </c>
      <c r="J126" s="655">
        <f t="shared" si="7"/>
        <v>3.8370370370370366</v>
      </c>
      <c r="K126" s="655">
        <f>SUM($J$2:J126)</f>
        <v>1081.648148148148</v>
      </c>
      <c r="L126" s="655">
        <f t="shared" si="8"/>
        <v>21637.203703703708</v>
      </c>
    </row>
    <row r="127" spans="6:12" x14ac:dyDescent="0.25">
      <c r="F127">
        <f t="shared" si="5"/>
        <v>10</v>
      </c>
      <c r="G127">
        <v>126</v>
      </c>
      <c r="H127" s="655">
        <f t="shared" si="9"/>
        <v>9044.4444444444416</v>
      </c>
      <c r="I127" s="655">
        <f t="shared" si="6"/>
        <v>20720</v>
      </c>
      <c r="J127" s="655">
        <f t="shared" si="7"/>
        <v>3.7685185185185177</v>
      </c>
      <c r="K127" s="655">
        <f>SUM($J$2:J127)</f>
        <v>1085.4166666666665</v>
      </c>
      <c r="L127" s="655">
        <f t="shared" si="8"/>
        <v>21805.416666666668</v>
      </c>
    </row>
    <row r="128" spans="6:12" x14ac:dyDescent="0.25">
      <c r="F128">
        <f t="shared" si="5"/>
        <v>10</v>
      </c>
      <c r="G128">
        <v>127</v>
      </c>
      <c r="H128" s="655">
        <f t="shared" si="9"/>
        <v>8880</v>
      </c>
      <c r="I128" s="655">
        <f t="shared" si="6"/>
        <v>20884.444444444445</v>
      </c>
      <c r="J128" s="655">
        <f t="shared" si="7"/>
        <v>3.7</v>
      </c>
      <c r="K128" s="655">
        <f>SUM($J$2:J128)</f>
        <v>1089.1166666666666</v>
      </c>
      <c r="L128" s="655">
        <f t="shared" si="8"/>
        <v>21973.56111111111</v>
      </c>
    </row>
    <row r="129" spans="6:12" x14ac:dyDescent="0.25">
      <c r="F129">
        <f t="shared" si="5"/>
        <v>10</v>
      </c>
      <c r="G129">
        <v>128</v>
      </c>
      <c r="H129" s="655">
        <f t="shared" si="9"/>
        <v>8715.5555555555547</v>
      </c>
      <c r="I129" s="655">
        <f t="shared" si="6"/>
        <v>21048.888888888891</v>
      </c>
      <c r="J129" s="655">
        <f t="shared" si="7"/>
        <v>3.6314814814814813</v>
      </c>
      <c r="K129" s="655">
        <f>SUM($J$2:J129)</f>
        <v>1092.7481481481479</v>
      </c>
      <c r="L129" s="655">
        <f t="shared" si="8"/>
        <v>22141.637037037039</v>
      </c>
    </row>
    <row r="130" spans="6:12" x14ac:dyDescent="0.25">
      <c r="F130">
        <f t="shared" si="5"/>
        <v>10</v>
      </c>
      <c r="G130">
        <v>129</v>
      </c>
      <c r="H130" s="655">
        <f t="shared" si="9"/>
        <v>8551.1111111111095</v>
      </c>
      <c r="I130" s="655">
        <f t="shared" si="6"/>
        <v>21213.333333333336</v>
      </c>
      <c r="J130" s="655">
        <f t="shared" si="7"/>
        <v>3.5629629629629624</v>
      </c>
      <c r="K130" s="655">
        <f>SUM($J$2:J130)</f>
        <v>1096.3111111111109</v>
      </c>
      <c r="L130" s="655">
        <f t="shared" si="8"/>
        <v>22309.644444444446</v>
      </c>
    </row>
    <row r="131" spans="6:12" x14ac:dyDescent="0.25">
      <c r="F131">
        <f t="shared" ref="F131:F194" si="10">QUOTIENT(G131,12)</f>
        <v>10</v>
      </c>
      <c r="G131">
        <v>130</v>
      </c>
      <c r="H131" s="655">
        <f t="shared" si="9"/>
        <v>8386.6666666666642</v>
      </c>
      <c r="I131" s="655">
        <f t="shared" ref="I131:I194" si="11">G131*$D$9</f>
        <v>21377.777777777781</v>
      </c>
      <c r="J131" s="655">
        <f t="shared" ref="J131:J194" si="12">H131*$D$11</f>
        <v>3.4944444444444436</v>
      </c>
      <c r="K131" s="655">
        <f>SUM($J$2:J131)</f>
        <v>1099.8055555555554</v>
      </c>
      <c r="L131" s="655">
        <f t="shared" ref="L131:L194" si="13">I131+K131</f>
        <v>22477.583333333336</v>
      </c>
    </row>
    <row r="132" spans="6:12" x14ac:dyDescent="0.25">
      <c r="F132">
        <f t="shared" si="10"/>
        <v>10</v>
      </c>
      <c r="G132">
        <v>131</v>
      </c>
      <c r="H132" s="655">
        <f t="shared" ref="H132:H195" si="14">$D$6-I131</f>
        <v>8222.222222222219</v>
      </c>
      <c r="I132" s="655">
        <f t="shared" si="11"/>
        <v>21542.222222222223</v>
      </c>
      <c r="J132" s="655">
        <f t="shared" si="12"/>
        <v>3.4259259259259247</v>
      </c>
      <c r="K132" s="655">
        <f>SUM($J$2:J132)</f>
        <v>1103.2314814814813</v>
      </c>
      <c r="L132" s="655">
        <f t="shared" si="13"/>
        <v>22645.453703703704</v>
      </c>
    </row>
    <row r="133" spans="6:12" x14ac:dyDescent="0.25">
      <c r="F133">
        <f t="shared" si="10"/>
        <v>11</v>
      </c>
      <c r="G133">
        <v>132</v>
      </c>
      <c r="H133" s="655">
        <f t="shared" si="14"/>
        <v>8057.7777777777774</v>
      </c>
      <c r="I133" s="655">
        <f t="shared" si="11"/>
        <v>21706.666666666668</v>
      </c>
      <c r="J133" s="655">
        <f t="shared" si="12"/>
        <v>3.3574074074074076</v>
      </c>
      <c r="K133" s="655">
        <f>SUM($J$2:J133)</f>
        <v>1106.5888888888887</v>
      </c>
      <c r="L133" s="655">
        <f t="shared" si="13"/>
        <v>22813.255555555555</v>
      </c>
    </row>
    <row r="134" spans="6:12" x14ac:dyDescent="0.25">
      <c r="F134">
        <f t="shared" si="10"/>
        <v>11</v>
      </c>
      <c r="G134">
        <v>133</v>
      </c>
      <c r="H134" s="655">
        <f t="shared" si="14"/>
        <v>7893.3333333333321</v>
      </c>
      <c r="I134" s="655">
        <f t="shared" si="11"/>
        <v>21871.111111111113</v>
      </c>
      <c r="J134" s="655">
        <f t="shared" si="12"/>
        <v>3.2888888888888888</v>
      </c>
      <c r="K134" s="655">
        <f>SUM($J$2:J134)</f>
        <v>1109.8777777777775</v>
      </c>
      <c r="L134" s="655">
        <f t="shared" si="13"/>
        <v>22980.988888888889</v>
      </c>
    </row>
    <row r="135" spans="6:12" x14ac:dyDescent="0.25">
      <c r="F135">
        <f t="shared" si="10"/>
        <v>11</v>
      </c>
      <c r="G135">
        <v>134</v>
      </c>
      <c r="H135" s="655">
        <f t="shared" si="14"/>
        <v>7728.8888888888869</v>
      </c>
      <c r="I135" s="655">
        <f t="shared" si="11"/>
        <v>22035.555555555558</v>
      </c>
      <c r="J135" s="655">
        <f t="shared" si="12"/>
        <v>3.2203703703703699</v>
      </c>
      <c r="K135" s="655">
        <f>SUM($J$2:J135)</f>
        <v>1113.0981481481479</v>
      </c>
      <c r="L135" s="655">
        <f t="shared" si="13"/>
        <v>23148.653703703705</v>
      </c>
    </row>
    <row r="136" spans="6:12" x14ac:dyDescent="0.25">
      <c r="F136">
        <f t="shared" si="10"/>
        <v>11</v>
      </c>
      <c r="G136">
        <v>135</v>
      </c>
      <c r="H136" s="655">
        <f t="shared" si="14"/>
        <v>7564.4444444444416</v>
      </c>
      <c r="I136" s="655">
        <f t="shared" si="11"/>
        <v>22200</v>
      </c>
      <c r="J136" s="655">
        <f t="shared" si="12"/>
        <v>3.151851851851851</v>
      </c>
      <c r="K136" s="655">
        <f>SUM($J$2:J136)</f>
        <v>1116.2499999999998</v>
      </c>
      <c r="L136" s="655">
        <f t="shared" si="13"/>
        <v>23316.25</v>
      </c>
    </row>
    <row r="137" spans="6:12" x14ac:dyDescent="0.25">
      <c r="F137">
        <f t="shared" si="10"/>
        <v>11</v>
      </c>
      <c r="G137">
        <v>136</v>
      </c>
      <c r="H137" s="655">
        <f t="shared" si="14"/>
        <v>7400</v>
      </c>
      <c r="I137" s="655">
        <f t="shared" si="11"/>
        <v>22364.444444444445</v>
      </c>
      <c r="J137" s="655">
        <f t="shared" si="12"/>
        <v>3.0833333333333335</v>
      </c>
      <c r="K137" s="655">
        <f>SUM($J$2:J137)</f>
        <v>1119.333333333333</v>
      </c>
      <c r="L137" s="655">
        <f t="shared" si="13"/>
        <v>23483.777777777777</v>
      </c>
    </row>
    <row r="138" spans="6:12" x14ac:dyDescent="0.25">
      <c r="F138">
        <f t="shared" si="10"/>
        <v>11</v>
      </c>
      <c r="G138">
        <v>137</v>
      </c>
      <c r="H138" s="655">
        <f t="shared" si="14"/>
        <v>7235.5555555555547</v>
      </c>
      <c r="I138" s="655">
        <f t="shared" si="11"/>
        <v>22528.888888888891</v>
      </c>
      <c r="J138" s="655">
        <f t="shared" si="12"/>
        <v>3.0148148148148146</v>
      </c>
      <c r="K138" s="655">
        <f>SUM($J$2:J138)</f>
        <v>1122.3481481481479</v>
      </c>
      <c r="L138" s="655">
        <f t="shared" si="13"/>
        <v>23651.237037037037</v>
      </c>
    </row>
    <row r="139" spans="6:12" x14ac:dyDescent="0.25">
      <c r="F139">
        <f t="shared" si="10"/>
        <v>11</v>
      </c>
      <c r="G139">
        <v>138</v>
      </c>
      <c r="H139" s="655">
        <f t="shared" si="14"/>
        <v>7071.1111111111095</v>
      </c>
      <c r="I139" s="655">
        <f t="shared" si="11"/>
        <v>22693.333333333336</v>
      </c>
      <c r="J139" s="655">
        <f t="shared" si="12"/>
        <v>2.9462962962962957</v>
      </c>
      <c r="K139" s="655">
        <f>SUM($J$2:J139)</f>
        <v>1125.2944444444443</v>
      </c>
      <c r="L139" s="655">
        <f t="shared" si="13"/>
        <v>23818.62777777778</v>
      </c>
    </row>
    <row r="140" spans="6:12" x14ac:dyDescent="0.25">
      <c r="F140">
        <f t="shared" si="10"/>
        <v>11</v>
      </c>
      <c r="G140">
        <v>139</v>
      </c>
      <c r="H140" s="655">
        <f t="shared" si="14"/>
        <v>6906.6666666666642</v>
      </c>
      <c r="I140" s="655">
        <f t="shared" si="11"/>
        <v>22857.777777777781</v>
      </c>
      <c r="J140" s="655">
        <f t="shared" si="12"/>
        <v>2.8777777777777769</v>
      </c>
      <c r="K140" s="655">
        <f>SUM($J$2:J140)</f>
        <v>1128.172222222222</v>
      </c>
      <c r="L140" s="655">
        <f t="shared" si="13"/>
        <v>23985.950000000004</v>
      </c>
    </row>
    <row r="141" spans="6:12" x14ac:dyDescent="0.25">
      <c r="F141">
        <f t="shared" si="10"/>
        <v>11</v>
      </c>
      <c r="G141">
        <v>140</v>
      </c>
      <c r="H141" s="655">
        <f t="shared" si="14"/>
        <v>6742.222222222219</v>
      </c>
      <c r="I141" s="655">
        <f t="shared" si="11"/>
        <v>23022.222222222223</v>
      </c>
      <c r="J141" s="655">
        <f t="shared" si="12"/>
        <v>2.809259259259258</v>
      </c>
      <c r="K141" s="655">
        <f>SUM($J$2:J141)</f>
        <v>1130.9814814814813</v>
      </c>
      <c r="L141" s="655">
        <f t="shared" si="13"/>
        <v>24153.203703703704</v>
      </c>
    </row>
    <row r="142" spans="6:12" x14ac:dyDescent="0.25">
      <c r="F142">
        <f t="shared" si="10"/>
        <v>11</v>
      </c>
      <c r="G142">
        <v>141</v>
      </c>
      <c r="H142" s="655">
        <f t="shared" si="14"/>
        <v>6577.7777777777774</v>
      </c>
      <c r="I142" s="655">
        <f t="shared" si="11"/>
        <v>23186.666666666668</v>
      </c>
      <c r="J142" s="655">
        <f t="shared" si="12"/>
        <v>2.7407407407407409</v>
      </c>
      <c r="K142" s="655">
        <f>SUM($J$2:J142)</f>
        <v>1133.7222222222219</v>
      </c>
      <c r="L142" s="655">
        <f t="shared" si="13"/>
        <v>24320.388888888891</v>
      </c>
    </row>
    <row r="143" spans="6:12" x14ac:dyDescent="0.25">
      <c r="F143">
        <f t="shared" si="10"/>
        <v>11</v>
      </c>
      <c r="G143">
        <v>142</v>
      </c>
      <c r="H143" s="655">
        <f t="shared" si="14"/>
        <v>6413.3333333333321</v>
      </c>
      <c r="I143" s="655">
        <f t="shared" si="11"/>
        <v>23351.111111111113</v>
      </c>
      <c r="J143" s="655">
        <f t="shared" si="12"/>
        <v>2.6722222222222221</v>
      </c>
      <c r="K143" s="655">
        <f>SUM($J$2:J143)</f>
        <v>1136.3944444444442</v>
      </c>
      <c r="L143" s="655">
        <f t="shared" si="13"/>
        <v>24487.505555555559</v>
      </c>
    </row>
    <row r="144" spans="6:12" x14ac:dyDescent="0.25">
      <c r="F144">
        <f t="shared" si="10"/>
        <v>11</v>
      </c>
      <c r="G144">
        <v>143</v>
      </c>
      <c r="H144" s="655">
        <f t="shared" si="14"/>
        <v>6248.8888888888869</v>
      </c>
      <c r="I144" s="655">
        <f t="shared" si="11"/>
        <v>23515.555555555558</v>
      </c>
      <c r="J144" s="655">
        <f t="shared" si="12"/>
        <v>2.6037037037037032</v>
      </c>
      <c r="K144" s="655">
        <f>SUM($J$2:J144)</f>
        <v>1138.9981481481479</v>
      </c>
      <c r="L144" s="655">
        <f t="shared" si="13"/>
        <v>24654.553703703707</v>
      </c>
    </row>
    <row r="145" spans="6:12" x14ac:dyDescent="0.25">
      <c r="F145">
        <f t="shared" si="10"/>
        <v>12</v>
      </c>
      <c r="G145">
        <v>144</v>
      </c>
      <c r="H145" s="655">
        <f t="shared" si="14"/>
        <v>6084.4444444444416</v>
      </c>
      <c r="I145" s="655">
        <f t="shared" si="11"/>
        <v>23680</v>
      </c>
      <c r="J145" s="655">
        <f t="shared" si="12"/>
        <v>2.5351851851851843</v>
      </c>
      <c r="K145" s="655">
        <f>SUM($J$2:J145)</f>
        <v>1141.5333333333331</v>
      </c>
      <c r="L145" s="655">
        <f t="shared" si="13"/>
        <v>24821.533333333333</v>
      </c>
    </row>
    <row r="146" spans="6:12" x14ac:dyDescent="0.25">
      <c r="F146">
        <f t="shared" si="10"/>
        <v>12</v>
      </c>
      <c r="G146">
        <v>145</v>
      </c>
      <c r="H146" s="655">
        <f t="shared" si="14"/>
        <v>5920</v>
      </c>
      <c r="I146" s="655">
        <f t="shared" si="11"/>
        <v>23844.444444444445</v>
      </c>
      <c r="J146" s="655">
        <f t="shared" si="12"/>
        <v>2.4666666666666668</v>
      </c>
      <c r="K146" s="655">
        <f>SUM($J$2:J146)</f>
        <v>1143.9999999999998</v>
      </c>
      <c r="L146" s="655">
        <f t="shared" si="13"/>
        <v>24988.444444444445</v>
      </c>
    </row>
    <row r="147" spans="6:12" x14ac:dyDescent="0.25">
      <c r="F147">
        <f t="shared" si="10"/>
        <v>12</v>
      </c>
      <c r="G147">
        <v>146</v>
      </c>
      <c r="H147" s="655">
        <f t="shared" si="14"/>
        <v>5755.5555555555547</v>
      </c>
      <c r="I147" s="655">
        <f t="shared" si="11"/>
        <v>24008.888888888891</v>
      </c>
      <c r="J147" s="655">
        <f t="shared" si="12"/>
        <v>2.3981481481481479</v>
      </c>
      <c r="K147" s="655">
        <f>SUM($J$2:J147)</f>
        <v>1146.3981481481478</v>
      </c>
      <c r="L147" s="655">
        <f t="shared" si="13"/>
        <v>25155.287037037036</v>
      </c>
    </row>
    <row r="148" spans="6:12" x14ac:dyDescent="0.25">
      <c r="F148">
        <f t="shared" si="10"/>
        <v>12</v>
      </c>
      <c r="G148">
        <v>147</v>
      </c>
      <c r="H148" s="655">
        <f t="shared" si="14"/>
        <v>5591.1111111111095</v>
      </c>
      <c r="I148" s="655">
        <f t="shared" si="11"/>
        <v>24173.333333333336</v>
      </c>
      <c r="J148" s="655">
        <f t="shared" si="12"/>
        <v>2.3296296296296291</v>
      </c>
      <c r="K148" s="655">
        <f>SUM($J$2:J148)</f>
        <v>1148.7277777777774</v>
      </c>
      <c r="L148" s="655">
        <f t="shared" si="13"/>
        <v>25322.061111111114</v>
      </c>
    </row>
    <row r="149" spans="6:12" x14ac:dyDescent="0.25">
      <c r="F149">
        <f t="shared" si="10"/>
        <v>12</v>
      </c>
      <c r="G149">
        <v>148</v>
      </c>
      <c r="H149" s="655">
        <f t="shared" si="14"/>
        <v>5426.6666666666642</v>
      </c>
      <c r="I149" s="655">
        <f t="shared" si="11"/>
        <v>24337.777777777781</v>
      </c>
      <c r="J149" s="655">
        <f t="shared" si="12"/>
        <v>2.2611111111111102</v>
      </c>
      <c r="K149" s="655">
        <f>SUM($J$2:J149)</f>
        <v>1150.9888888888886</v>
      </c>
      <c r="L149" s="655">
        <f t="shared" si="13"/>
        <v>25488.76666666667</v>
      </c>
    </row>
    <row r="150" spans="6:12" x14ac:dyDescent="0.25">
      <c r="F150">
        <f t="shared" si="10"/>
        <v>12</v>
      </c>
      <c r="G150">
        <v>149</v>
      </c>
      <c r="H150" s="655">
        <f t="shared" si="14"/>
        <v>5262.222222222219</v>
      </c>
      <c r="I150" s="655">
        <f t="shared" si="11"/>
        <v>24502.222222222223</v>
      </c>
      <c r="J150" s="655">
        <f t="shared" si="12"/>
        <v>2.1925925925925913</v>
      </c>
      <c r="K150" s="655">
        <f>SUM($J$2:J150)</f>
        <v>1153.1814814814811</v>
      </c>
      <c r="L150" s="655">
        <f t="shared" si="13"/>
        <v>25655.403703703705</v>
      </c>
    </row>
    <row r="151" spans="6:12" x14ac:dyDescent="0.25">
      <c r="F151">
        <f t="shared" si="10"/>
        <v>12</v>
      </c>
      <c r="G151">
        <v>150</v>
      </c>
      <c r="H151" s="655">
        <f t="shared" si="14"/>
        <v>5097.7777777777774</v>
      </c>
      <c r="I151" s="655">
        <f t="shared" si="11"/>
        <v>24666.666666666668</v>
      </c>
      <c r="J151" s="655">
        <f t="shared" si="12"/>
        <v>2.1240740740740742</v>
      </c>
      <c r="K151" s="655">
        <f>SUM($J$2:J151)</f>
        <v>1155.3055555555552</v>
      </c>
      <c r="L151" s="655">
        <f t="shared" si="13"/>
        <v>25821.972222222223</v>
      </c>
    </row>
    <row r="152" spans="6:12" x14ac:dyDescent="0.25">
      <c r="F152">
        <f t="shared" si="10"/>
        <v>12</v>
      </c>
      <c r="G152">
        <v>151</v>
      </c>
      <c r="H152" s="655">
        <f t="shared" si="14"/>
        <v>4933.3333333333321</v>
      </c>
      <c r="I152" s="655">
        <f t="shared" si="11"/>
        <v>24831.111111111113</v>
      </c>
      <c r="J152" s="655">
        <f t="shared" si="12"/>
        <v>2.0555555555555554</v>
      </c>
      <c r="K152" s="655">
        <f>SUM($J$2:J152)</f>
        <v>1157.3611111111109</v>
      </c>
      <c r="L152" s="655">
        <f t="shared" si="13"/>
        <v>25988.472222222223</v>
      </c>
    </row>
    <row r="153" spans="6:12" x14ac:dyDescent="0.25">
      <c r="F153">
        <f t="shared" si="10"/>
        <v>12</v>
      </c>
      <c r="G153">
        <v>152</v>
      </c>
      <c r="H153" s="655">
        <f t="shared" si="14"/>
        <v>4768.8888888888869</v>
      </c>
      <c r="I153" s="655">
        <f t="shared" si="11"/>
        <v>24995.555555555558</v>
      </c>
      <c r="J153" s="655">
        <f t="shared" si="12"/>
        <v>1.9870370370370363</v>
      </c>
      <c r="K153" s="655">
        <f>SUM($J$2:J153)</f>
        <v>1159.3481481481479</v>
      </c>
      <c r="L153" s="655">
        <f t="shared" si="13"/>
        <v>26154.903703703705</v>
      </c>
    </row>
    <row r="154" spans="6:12" x14ac:dyDescent="0.25">
      <c r="F154">
        <f t="shared" si="10"/>
        <v>12</v>
      </c>
      <c r="G154">
        <v>153</v>
      </c>
      <c r="H154" s="655">
        <f t="shared" si="14"/>
        <v>4604.4444444444416</v>
      </c>
      <c r="I154" s="655">
        <f t="shared" si="11"/>
        <v>25160.000000000004</v>
      </c>
      <c r="J154" s="655">
        <f t="shared" si="12"/>
        <v>1.9185185185185174</v>
      </c>
      <c r="K154" s="655">
        <f>SUM($J$2:J154)</f>
        <v>1161.2666666666664</v>
      </c>
      <c r="L154" s="655">
        <f t="shared" si="13"/>
        <v>26321.26666666667</v>
      </c>
    </row>
    <row r="155" spans="6:12" x14ac:dyDescent="0.25">
      <c r="F155">
        <f t="shared" si="10"/>
        <v>12</v>
      </c>
      <c r="G155">
        <v>154</v>
      </c>
      <c r="H155" s="655">
        <f t="shared" si="14"/>
        <v>4439.9999999999964</v>
      </c>
      <c r="I155" s="655">
        <f t="shared" si="11"/>
        <v>25324.444444444445</v>
      </c>
      <c r="J155" s="655">
        <f t="shared" si="12"/>
        <v>1.8499999999999985</v>
      </c>
      <c r="K155" s="655">
        <f>SUM($J$2:J155)</f>
        <v>1163.1166666666663</v>
      </c>
      <c r="L155" s="655">
        <f t="shared" si="13"/>
        <v>26487.56111111111</v>
      </c>
    </row>
    <row r="156" spans="6:12" x14ac:dyDescent="0.25">
      <c r="F156">
        <f t="shared" si="10"/>
        <v>12</v>
      </c>
      <c r="G156">
        <v>155</v>
      </c>
      <c r="H156" s="655">
        <f t="shared" si="14"/>
        <v>4275.5555555555547</v>
      </c>
      <c r="I156" s="655">
        <f t="shared" si="11"/>
        <v>25488.888888888891</v>
      </c>
      <c r="J156" s="655">
        <f t="shared" si="12"/>
        <v>1.7814814814814812</v>
      </c>
      <c r="K156" s="655">
        <f>SUM($J$2:J156)</f>
        <v>1164.8981481481478</v>
      </c>
      <c r="L156" s="655">
        <f t="shared" si="13"/>
        <v>26653.787037037036</v>
      </c>
    </row>
    <row r="157" spans="6:12" x14ac:dyDescent="0.25">
      <c r="F157">
        <f t="shared" si="10"/>
        <v>13</v>
      </c>
      <c r="G157">
        <v>156</v>
      </c>
      <c r="H157" s="655">
        <f t="shared" si="14"/>
        <v>4111.1111111111095</v>
      </c>
      <c r="I157" s="655">
        <f t="shared" si="11"/>
        <v>25653.333333333336</v>
      </c>
      <c r="J157" s="655">
        <f t="shared" si="12"/>
        <v>1.7129629629629624</v>
      </c>
      <c r="K157" s="655">
        <f>SUM($J$2:J157)</f>
        <v>1166.6111111111109</v>
      </c>
      <c r="L157" s="655">
        <f t="shared" si="13"/>
        <v>26819.944444444445</v>
      </c>
    </row>
    <row r="158" spans="6:12" x14ac:dyDescent="0.25">
      <c r="F158">
        <f t="shared" si="10"/>
        <v>13</v>
      </c>
      <c r="G158">
        <v>157</v>
      </c>
      <c r="H158" s="655">
        <f t="shared" si="14"/>
        <v>3946.6666666666642</v>
      </c>
      <c r="I158" s="655">
        <f t="shared" si="11"/>
        <v>25817.777777777781</v>
      </c>
      <c r="J158" s="655">
        <f t="shared" si="12"/>
        <v>1.6444444444444435</v>
      </c>
      <c r="K158" s="655">
        <f>SUM($J$2:J158)</f>
        <v>1168.2555555555552</v>
      </c>
      <c r="L158" s="655">
        <f t="shared" si="13"/>
        <v>26986.033333333336</v>
      </c>
    </row>
    <row r="159" spans="6:12" x14ac:dyDescent="0.25">
      <c r="F159">
        <f t="shared" si="10"/>
        <v>13</v>
      </c>
      <c r="G159">
        <v>158</v>
      </c>
      <c r="H159" s="655">
        <f t="shared" si="14"/>
        <v>3782.222222222219</v>
      </c>
      <c r="I159" s="655">
        <f t="shared" si="11"/>
        <v>25982.222222222223</v>
      </c>
      <c r="J159" s="655">
        <f t="shared" si="12"/>
        <v>1.5759259259259246</v>
      </c>
      <c r="K159" s="655">
        <f>SUM($J$2:J159)</f>
        <v>1169.8314814814812</v>
      </c>
      <c r="L159" s="655">
        <f t="shared" si="13"/>
        <v>27152.053703703703</v>
      </c>
    </row>
    <row r="160" spans="6:12" x14ac:dyDescent="0.25">
      <c r="F160">
        <f t="shared" si="10"/>
        <v>13</v>
      </c>
      <c r="G160">
        <v>159</v>
      </c>
      <c r="H160" s="655">
        <f t="shared" si="14"/>
        <v>3617.7777777777774</v>
      </c>
      <c r="I160" s="655">
        <f t="shared" si="11"/>
        <v>26146.666666666668</v>
      </c>
      <c r="J160" s="655">
        <f t="shared" si="12"/>
        <v>1.5074074074074073</v>
      </c>
      <c r="K160" s="655">
        <f>SUM($J$2:J160)</f>
        <v>1171.3388888888885</v>
      </c>
      <c r="L160" s="655">
        <f t="shared" si="13"/>
        <v>27318.005555555555</v>
      </c>
    </row>
    <row r="161" spans="6:12" x14ac:dyDescent="0.25">
      <c r="F161">
        <f t="shared" si="10"/>
        <v>13</v>
      </c>
      <c r="G161">
        <v>160</v>
      </c>
      <c r="H161" s="655">
        <f t="shared" si="14"/>
        <v>3453.3333333333321</v>
      </c>
      <c r="I161" s="655">
        <f t="shared" si="11"/>
        <v>26311.111111111113</v>
      </c>
      <c r="J161" s="655">
        <f t="shared" si="12"/>
        <v>1.4388888888888884</v>
      </c>
      <c r="K161" s="655">
        <f>SUM($J$2:J161)</f>
        <v>1172.7777777777774</v>
      </c>
      <c r="L161" s="655">
        <f t="shared" si="13"/>
        <v>27483.888888888891</v>
      </c>
    </row>
    <row r="162" spans="6:12" x14ac:dyDescent="0.25">
      <c r="F162">
        <f t="shared" si="10"/>
        <v>13</v>
      </c>
      <c r="G162">
        <v>161</v>
      </c>
      <c r="H162" s="655">
        <f t="shared" si="14"/>
        <v>3288.8888888888869</v>
      </c>
      <c r="I162" s="655">
        <f t="shared" si="11"/>
        <v>26475.555555555558</v>
      </c>
      <c r="J162" s="655">
        <f t="shared" si="12"/>
        <v>1.3703703703703696</v>
      </c>
      <c r="K162" s="655">
        <f>SUM($J$2:J162)</f>
        <v>1174.1481481481478</v>
      </c>
      <c r="L162" s="655">
        <f t="shared" si="13"/>
        <v>27649.703703703708</v>
      </c>
    </row>
    <row r="163" spans="6:12" x14ac:dyDescent="0.25">
      <c r="F163">
        <f t="shared" si="10"/>
        <v>13</v>
      </c>
      <c r="G163">
        <v>162</v>
      </c>
      <c r="H163" s="655">
        <f t="shared" si="14"/>
        <v>3124.4444444444416</v>
      </c>
      <c r="I163" s="655">
        <f t="shared" si="11"/>
        <v>26640.000000000004</v>
      </c>
      <c r="J163" s="655">
        <f t="shared" si="12"/>
        <v>1.3018518518518507</v>
      </c>
      <c r="K163" s="655">
        <f>SUM($J$2:J163)</f>
        <v>1175.4499999999996</v>
      </c>
      <c r="L163" s="655">
        <f t="shared" si="13"/>
        <v>27815.450000000004</v>
      </c>
    </row>
    <row r="164" spans="6:12" x14ac:dyDescent="0.25">
      <c r="F164">
        <f t="shared" si="10"/>
        <v>13</v>
      </c>
      <c r="G164">
        <v>163</v>
      </c>
      <c r="H164" s="655">
        <f t="shared" si="14"/>
        <v>2959.9999999999964</v>
      </c>
      <c r="I164" s="655">
        <f t="shared" si="11"/>
        <v>26804.444444444445</v>
      </c>
      <c r="J164" s="655">
        <f t="shared" si="12"/>
        <v>1.2333333333333318</v>
      </c>
      <c r="K164" s="655">
        <f>SUM($J$2:J164)</f>
        <v>1176.6833333333329</v>
      </c>
      <c r="L164" s="655">
        <f t="shared" si="13"/>
        <v>27981.12777777778</v>
      </c>
    </row>
    <row r="165" spans="6:12" x14ac:dyDescent="0.25">
      <c r="F165">
        <f t="shared" si="10"/>
        <v>13</v>
      </c>
      <c r="G165">
        <v>164</v>
      </c>
      <c r="H165" s="655">
        <f t="shared" si="14"/>
        <v>2795.5555555555547</v>
      </c>
      <c r="I165" s="655">
        <f t="shared" si="11"/>
        <v>26968.888888888891</v>
      </c>
      <c r="J165" s="655">
        <f t="shared" si="12"/>
        <v>1.1648148148148145</v>
      </c>
      <c r="K165" s="655">
        <f>SUM($J$2:J165)</f>
        <v>1177.8481481481479</v>
      </c>
      <c r="L165" s="655">
        <f t="shared" si="13"/>
        <v>28146.737037037037</v>
      </c>
    </row>
    <row r="166" spans="6:12" x14ac:dyDescent="0.25">
      <c r="F166">
        <f t="shared" si="10"/>
        <v>13</v>
      </c>
      <c r="G166">
        <v>165</v>
      </c>
      <c r="H166" s="655">
        <f t="shared" si="14"/>
        <v>2631.1111111111095</v>
      </c>
      <c r="I166" s="655">
        <f t="shared" si="11"/>
        <v>27133.333333333336</v>
      </c>
      <c r="J166" s="655">
        <f t="shared" si="12"/>
        <v>1.0962962962962957</v>
      </c>
      <c r="K166" s="655">
        <f>SUM($J$2:J166)</f>
        <v>1178.9444444444441</v>
      </c>
      <c r="L166" s="655">
        <f t="shared" si="13"/>
        <v>28312.277777777781</v>
      </c>
    </row>
    <row r="167" spans="6:12" x14ac:dyDescent="0.25">
      <c r="F167">
        <f t="shared" si="10"/>
        <v>13</v>
      </c>
      <c r="G167">
        <v>166</v>
      </c>
      <c r="H167" s="655">
        <f t="shared" si="14"/>
        <v>2466.6666666666642</v>
      </c>
      <c r="I167" s="655">
        <f t="shared" si="11"/>
        <v>27297.777777777781</v>
      </c>
      <c r="J167" s="655">
        <f t="shared" si="12"/>
        <v>1.0277777777777768</v>
      </c>
      <c r="K167" s="655">
        <f>SUM($J$2:J167)</f>
        <v>1179.9722222222219</v>
      </c>
      <c r="L167" s="655">
        <f t="shared" si="13"/>
        <v>28477.750000000004</v>
      </c>
    </row>
    <row r="168" spans="6:12" x14ac:dyDescent="0.25">
      <c r="F168">
        <f t="shared" si="10"/>
        <v>13</v>
      </c>
      <c r="G168">
        <v>167</v>
      </c>
      <c r="H168" s="655">
        <f t="shared" si="14"/>
        <v>2302.222222222219</v>
      </c>
      <c r="I168" s="655">
        <f t="shared" si="11"/>
        <v>27462.222222222223</v>
      </c>
      <c r="J168" s="655">
        <f t="shared" si="12"/>
        <v>0.95925925925925792</v>
      </c>
      <c r="K168" s="655">
        <f>SUM($J$2:J168)</f>
        <v>1180.9314814814811</v>
      </c>
      <c r="L168" s="655">
        <f t="shared" si="13"/>
        <v>28643.153703703705</v>
      </c>
    </row>
    <row r="169" spans="6:12" x14ac:dyDescent="0.25">
      <c r="F169">
        <f t="shared" si="10"/>
        <v>14</v>
      </c>
      <c r="G169">
        <v>168</v>
      </c>
      <c r="H169" s="655">
        <f t="shared" si="14"/>
        <v>2137.7777777777774</v>
      </c>
      <c r="I169" s="655">
        <f t="shared" si="11"/>
        <v>27626.666666666668</v>
      </c>
      <c r="J169" s="655">
        <f t="shared" si="12"/>
        <v>0.89074074074074061</v>
      </c>
      <c r="K169" s="655">
        <f>SUM($J$2:J169)</f>
        <v>1181.8222222222219</v>
      </c>
      <c r="L169" s="655">
        <f t="shared" si="13"/>
        <v>28808.488888888889</v>
      </c>
    </row>
    <row r="170" spans="6:12" x14ac:dyDescent="0.25">
      <c r="F170">
        <f t="shared" si="10"/>
        <v>14</v>
      </c>
      <c r="G170">
        <v>169</v>
      </c>
      <c r="H170" s="655">
        <f t="shared" si="14"/>
        <v>1973.3333333333321</v>
      </c>
      <c r="I170" s="655">
        <f t="shared" si="11"/>
        <v>27791.111111111113</v>
      </c>
      <c r="J170" s="655">
        <f t="shared" si="12"/>
        <v>0.82222222222222174</v>
      </c>
      <c r="K170" s="655">
        <f>SUM($J$2:J170)</f>
        <v>1182.6444444444442</v>
      </c>
      <c r="L170" s="655">
        <f t="shared" si="13"/>
        <v>28973.755555555559</v>
      </c>
    </row>
    <row r="171" spans="6:12" x14ac:dyDescent="0.25">
      <c r="F171">
        <f t="shared" si="10"/>
        <v>14</v>
      </c>
      <c r="G171">
        <v>170</v>
      </c>
      <c r="H171" s="655">
        <f t="shared" si="14"/>
        <v>1808.8888888888869</v>
      </c>
      <c r="I171" s="655">
        <f t="shared" si="11"/>
        <v>27955.555555555558</v>
      </c>
      <c r="J171" s="655">
        <f t="shared" si="12"/>
        <v>0.75370370370370288</v>
      </c>
      <c r="K171" s="655">
        <f>SUM($J$2:J171)</f>
        <v>1183.3981481481478</v>
      </c>
      <c r="L171" s="655">
        <f t="shared" si="13"/>
        <v>29138.953703703708</v>
      </c>
    </row>
    <row r="172" spans="6:12" x14ac:dyDescent="0.25">
      <c r="F172">
        <f t="shared" si="10"/>
        <v>14</v>
      </c>
      <c r="G172">
        <v>171</v>
      </c>
      <c r="H172" s="655">
        <f t="shared" si="14"/>
        <v>1644.4444444444416</v>
      </c>
      <c r="I172" s="655">
        <f t="shared" si="11"/>
        <v>28120.000000000004</v>
      </c>
      <c r="J172" s="655">
        <f t="shared" si="12"/>
        <v>0.68518518518518401</v>
      </c>
      <c r="K172" s="655">
        <f>SUM($J$2:J172)</f>
        <v>1184.083333333333</v>
      </c>
      <c r="L172" s="655">
        <f t="shared" si="13"/>
        <v>29304.083333333336</v>
      </c>
    </row>
    <row r="173" spans="6:12" x14ac:dyDescent="0.25">
      <c r="F173">
        <f t="shared" si="10"/>
        <v>14</v>
      </c>
      <c r="G173">
        <v>172</v>
      </c>
      <c r="H173" s="655">
        <f t="shared" si="14"/>
        <v>1479.9999999999964</v>
      </c>
      <c r="I173" s="655">
        <f t="shared" si="11"/>
        <v>28284.444444444445</v>
      </c>
      <c r="J173" s="655">
        <f t="shared" si="12"/>
        <v>0.61666666666666514</v>
      </c>
      <c r="K173" s="655">
        <f>SUM($J$2:J173)</f>
        <v>1184.6999999999996</v>
      </c>
      <c r="L173" s="655">
        <f t="shared" si="13"/>
        <v>29469.144444444446</v>
      </c>
    </row>
    <row r="174" spans="6:12" x14ac:dyDescent="0.25">
      <c r="F174">
        <f t="shared" si="10"/>
        <v>14</v>
      </c>
      <c r="G174">
        <v>173</v>
      </c>
      <c r="H174" s="655">
        <f t="shared" si="14"/>
        <v>1315.5555555555547</v>
      </c>
      <c r="I174" s="655">
        <f t="shared" si="11"/>
        <v>28448.888888888891</v>
      </c>
      <c r="J174" s="655">
        <f t="shared" si="12"/>
        <v>0.54814814814814783</v>
      </c>
      <c r="K174" s="655">
        <f>SUM($J$2:J174)</f>
        <v>1185.2481481481477</v>
      </c>
      <c r="L174" s="655">
        <f t="shared" si="13"/>
        <v>29634.137037037039</v>
      </c>
    </row>
    <row r="175" spans="6:12" x14ac:dyDescent="0.25">
      <c r="F175">
        <f t="shared" si="10"/>
        <v>14</v>
      </c>
      <c r="G175">
        <v>174</v>
      </c>
      <c r="H175" s="655">
        <f t="shared" si="14"/>
        <v>1151.1111111111095</v>
      </c>
      <c r="I175" s="655">
        <f t="shared" si="11"/>
        <v>28613.333333333336</v>
      </c>
      <c r="J175" s="655">
        <f t="shared" si="12"/>
        <v>0.47962962962962896</v>
      </c>
      <c r="K175" s="655">
        <f>SUM($J$2:J175)</f>
        <v>1185.7277777777774</v>
      </c>
      <c r="L175" s="655">
        <f t="shared" si="13"/>
        <v>29799.061111111114</v>
      </c>
    </row>
    <row r="176" spans="6:12" x14ac:dyDescent="0.25">
      <c r="F176">
        <f t="shared" si="10"/>
        <v>14</v>
      </c>
      <c r="G176">
        <v>175</v>
      </c>
      <c r="H176" s="655">
        <f t="shared" si="14"/>
        <v>986.66666666666424</v>
      </c>
      <c r="I176" s="655">
        <f t="shared" si="11"/>
        <v>28777.777777777781</v>
      </c>
      <c r="J176" s="655">
        <f t="shared" si="12"/>
        <v>0.41111111111111015</v>
      </c>
      <c r="K176" s="655">
        <f>SUM($J$2:J176)</f>
        <v>1186.1388888888885</v>
      </c>
      <c r="L176" s="655">
        <f t="shared" si="13"/>
        <v>29963.916666666668</v>
      </c>
    </row>
    <row r="177" spans="6:12" x14ac:dyDescent="0.25">
      <c r="F177">
        <f t="shared" si="10"/>
        <v>14</v>
      </c>
      <c r="G177">
        <v>176</v>
      </c>
      <c r="H177" s="655">
        <f t="shared" si="14"/>
        <v>822.22222222221899</v>
      </c>
      <c r="I177" s="655">
        <f t="shared" si="11"/>
        <v>28942.222222222226</v>
      </c>
      <c r="J177" s="655">
        <f t="shared" si="12"/>
        <v>0.34259259259259128</v>
      </c>
      <c r="K177" s="655">
        <f>SUM($J$2:J177)</f>
        <v>1186.4814814814811</v>
      </c>
      <c r="L177" s="655">
        <f t="shared" si="13"/>
        <v>30128.703703703708</v>
      </c>
    </row>
    <row r="178" spans="6:12" x14ac:dyDescent="0.25">
      <c r="F178">
        <f t="shared" si="10"/>
        <v>14</v>
      </c>
      <c r="G178">
        <v>177</v>
      </c>
      <c r="H178" s="655">
        <f t="shared" si="14"/>
        <v>657.77777777777374</v>
      </c>
      <c r="I178" s="655">
        <f t="shared" si="11"/>
        <v>29106.666666666668</v>
      </c>
      <c r="J178" s="655">
        <f t="shared" si="12"/>
        <v>0.27407407407407242</v>
      </c>
      <c r="K178" s="655">
        <f>SUM($J$2:J178)</f>
        <v>1186.7555555555552</v>
      </c>
      <c r="L178" s="655">
        <f t="shared" si="13"/>
        <v>30293.422222222223</v>
      </c>
    </row>
    <row r="179" spans="6:12" x14ac:dyDescent="0.25">
      <c r="F179">
        <f t="shared" si="10"/>
        <v>14</v>
      </c>
      <c r="G179">
        <v>178</v>
      </c>
      <c r="H179" s="655">
        <f t="shared" si="14"/>
        <v>493.33333333333212</v>
      </c>
      <c r="I179" s="655">
        <f t="shared" si="11"/>
        <v>29271.111111111113</v>
      </c>
      <c r="J179" s="655">
        <f t="shared" si="12"/>
        <v>0.20555555555555508</v>
      </c>
      <c r="K179" s="655">
        <f>SUM($J$2:J179)</f>
        <v>1186.9611111111108</v>
      </c>
      <c r="L179" s="655">
        <f t="shared" si="13"/>
        <v>30458.072222222225</v>
      </c>
    </row>
    <row r="180" spans="6:12" x14ac:dyDescent="0.25">
      <c r="F180">
        <f t="shared" si="10"/>
        <v>14</v>
      </c>
      <c r="G180">
        <v>179</v>
      </c>
      <c r="H180" s="655">
        <f t="shared" si="14"/>
        <v>328.88888888888687</v>
      </c>
      <c r="I180" s="655">
        <f t="shared" si="11"/>
        <v>29435.555555555558</v>
      </c>
      <c r="J180" s="655">
        <f t="shared" si="12"/>
        <v>0.13703703703703621</v>
      </c>
      <c r="K180" s="655">
        <f>SUM($J$2:J180)</f>
        <v>1187.0981481481479</v>
      </c>
      <c r="L180" s="655">
        <f t="shared" si="13"/>
        <v>30622.653703703705</v>
      </c>
    </row>
    <row r="181" spans="6:12" x14ac:dyDescent="0.25">
      <c r="F181">
        <f t="shared" si="10"/>
        <v>15</v>
      </c>
      <c r="G181">
        <v>180</v>
      </c>
      <c r="H181" s="655">
        <f t="shared" si="14"/>
        <v>164.44444444444161</v>
      </c>
      <c r="I181" s="655">
        <f t="shared" si="11"/>
        <v>29600.000000000004</v>
      </c>
      <c r="J181" s="655">
        <f t="shared" si="12"/>
        <v>6.8518518518517341E-2</v>
      </c>
      <c r="K181" s="655">
        <f>SUM($J$2:J181)</f>
        <v>1187.1666666666663</v>
      </c>
      <c r="L181" s="655">
        <f t="shared" si="13"/>
        <v>30787.166666666672</v>
      </c>
    </row>
    <row r="182" spans="6:12" x14ac:dyDescent="0.25">
      <c r="F182">
        <f t="shared" si="10"/>
        <v>15</v>
      </c>
      <c r="G182">
        <v>181</v>
      </c>
      <c r="H182" s="655">
        <f t="shared" si="14"/>
        <v>0</v>
      </c>
      <c r="I182" s="655">
        <f t="shared" si="11"/>
        <v>29764.444444444445</v>
      </c>
      <c r="J182" s="655">
        <f t="shared" si="12"/>
        <v>0</v>
      </c>
      <c r="K182" s="655">
        <f>SUM($J$2:J182)</f>
        <v>1187.1666666666663</v>
      </c>
      <c r="L182" s="655">
        <f t="shared" si="13"/>
        <v>30951.611111111113</v>
      </c>
    </row>
    <row r="183" spans="6:12" x14ac:dyDescent="0.25">
      <c r="F183">
        <f t="shared" si="10"/>
        <v>15</v>
      </c>
      <c r="G183">
        <v>182</v>
      </c>
      <c r="H183" s="655">
        <f t="shared" si="14"/>
        <v>-164.44444444444525</v>
      </c>
      <c r="I183" s="655">
        <f t="shared" si="11"/>
        <v>29928.888888888891</v>
      </c>
      <c r="J183" s="655">
        <f t="shared" si="12"/>
        <v>-6.8518518518518853E-2</v>
      </c>
      <c r="K183" s="655">
        <f>SUM($J$2:J183)</f>
        <v>1187.0981481481479</v>
      </c>
      <c r="L183" s="655">
        <f t="shared" si="13"/>
        <v>31115.987037037037</v>
      </c>
    </row>
    <row r="184" spans="6:12" x14ac:dyDescent="0.25">
      <c r="F184">
        <f t="shared" si="10"/>
        <v>15</v>
      </c>
      <c r="G184">
        <v>183</v>
      </c>
      <c r="H184" s="655">
        <f t="shared" si="14"/>
        <v>-328.88888888889051</v>
      </c>
      <c r="I184" s="655">
        <f t="shared" si="11"/>
        <v>30093.333333333336</v>
      </c>
      <c r="J184" s="655">
        <f t="shared" si="12"/>
        <v>-0.13703703703703771</v>
      </c>
      <c r="K184" s="655">
        <f>SUM($J$2:J184)</f>
        <v>1186.9611111111108</v>
      </c>
      <c r="L184" s="655">
        <f t="shared" si="13"/>
        <v>31280.294444444447</v>
      </c>
    </row>
    <row r="185" spans="6:12" x14ac:dyDescent="0.25">
      <c r="F185">
        <f t="shared" si="10"/>
        <v>15</v>
      </c>
      <c r="G185">
        <v>184</v>
      </c>
      <c r="H185" s="655">
        <f t="shared" si="14"/>
        <v>-493.33333333333576</v>
      </c>
      <c r="I185" s="655">
        <f t="shared" si="11"/>
        <v>30257.777777777781</v>
      </c>
      <c r="J185" s="655">
        <f t="shared" si="12"/>
        <v>-0.20555555555555657</v>
      </c>
      <c r="K185" s="655">
        <f>SUM($J$2:J185)</f>
        <v>1186.7555555555552</v>
      </c>
      <c r="L185" s="655">
        <f t="shared" si="13"/>
        <v>31444.533333333336</v>
      </c>
    </row>
    <row r="186" spans="6:12" x14ac:dyDescent="0.25">
      <c r="F186">
        <f t="shared" si="10"/>
        <v>15</v>
      </c>
      <c r="G186">
        <v>185</v>
      </c>
      <c r="H186" s="655">
        <f t="shared" si="14"/>
        <v>-657.77777777778101</v>
      </c>
      <c r="I186" s="655">
        <f t="shared" si="11"/>
        <v>30422.222222222226</v>
      </c>
      <c r="J186" s="655">
        <f t="shared" si="12"/>
        <v>-0.27407407407407541</v>
      </c>
      <c r="K186" s="655">
        <f>SUM($J$2:J186)</f>
        <v>1186.4814814814811</v>
      </c>
      <c r="L186" s="655">
        <f t="shared" si="13"/>
        <v>31608.703703703708</v>
      </c>
    </row>
    <row r="187" spans="6:12" x14ac:dyDescent="0.25">
      <c r="F187">
        <f t="shared" si="10"/>
        <v>15</v>
      </c>
      <c r="G187">
        <v>186</v>
      </c>
      <c r="H187" s="655">
        <f t="shared" si="14"/>
        <v>-822.22222222222626</v>
      </c>
      <c r="I187" s="655">
        <f t="shared" si="11"/>
        <v>30586.666666666668</v>
      </c>
      <c r="J187" s="655">
        <f t="shared" si="12"/>
        <v>-0.34259259259259428</v>
      </c>
      <c r="K187" s="655">
        <f>SUM($J$2:J187)</f>
        <v>1186.1388888888885</v>
      </c>
      <c r="L187" s="655">
        <f t="shared" si="13"/>
        <v>31772.805555555555</v>
      </c>
    </row>
    <row r="188" spans="6:12" x14ac:dyDescent="0.25">
      <c r="F188">
        <f t="shared" si="10"/>
        <v>15</v>
      </c>
      <c r="G188">
        <v>187</v>
      </c>
      <c r="H188" s="655">
        <f t="shared" si="14"/>
        <v>-986.66666666666788</v>
      </c>
      <c r="I188" s="655">
        <f t="shared" si="11"/>
        <v>30751.111111111113</v>
      </c>
      <c r="J188" s="655">
        <f t="shared" si="12"/>
        <v>-0.41111111111111165</v>
      </c>
      <c r="K188" s="655">
        <f>SUM($J$2:J188)</f>
        <v>1185.7277777777774</v>
      </c>
      <c r="L188" s="655">
        <f t="shared" si="13"/>
        <v>31936.838888888891</v>
      </c>
    </row>
    <row r="189" spans="6:12" x14ac:dyDescent="0.25">
      <c r="F189">
        <f t="shared" si="10"/>
        <v>15</v>
      </c>
      <c r="G189">
        <v>188</v>
      </c>
      <c r="H189" s="655">
        <f t="shared" si="14"/>
        <v>-1151.1111111111131</v>
      </c>
      <c r="I189" s="655">
        <f t="shared" si="11"/>
        <v>30915.555555555558</v>
      </c>
      <c r="J189" s="655">
        <f t="shared" si="12"/>
        <v>-0.47962962962963052</v>
      </c>
      <c r="K189" s="655">
        <f>SUM($J$2:J189)</f>
        <v>1185.2481481481477</v>
      </c>
      <c r="L189" s="655">
        <f t="shared" si="13"/>
        <v>32100.803703703707</v>
      </c>
    </row>
    <row r="190" spans="6:12" x14ac:dyDescent="0.25">
      <c r="F190">
        <f t="shared" si="10"/>
        <v>15</v>
      </c>
      <c r="G190">
        <v>189</v>
      </c>
      <c r="H190" s="655">
        <f t="shared" si="14"/>
        <v>-1315.5555555555584</v>
      </c>
      <c r="I190" s="655">
        <f t="shared" si="11"/>
        <v>31080.000000000004</v>
      </c>
      <c r="J190" s="655">
        <f t="shared" si="12"/>
        <v>-0.54814814814814938</v>
      </c>
      <c r="K190" s="655">
        <f>SUM($J$2:J190)</f>
        <v>1184.6999999999996</v>
      </c>
      <c r="L190" s="655">
        <f t="shared" si="13"/>
        <v>32264.700000000004</v>
      </c>
    </row>
    <row r="191" spans="6:12" x14ac:dyDescent="0.25">
      <c r="F191">
        <f t="shared" si="10"/>
        <v>15</v>
      </c>
      <c r="G191">
        <v>190</v>
      </c>
      <c r="H191" s="655">
        <f t="shared" si="14"/>
        <v>-1480.0000000000036</v>
      </c>
      <c r="I191" s="655">
        <f t="shared" si="11"/>
        <v>31244.444444444445</v>
      </c>
      <c r="J191" s="655">
        <f t="shared" si="12"/>
        <v>-0.61666666666666825</v>
      </c>
      <c r="K191" s="655">
        <f>SUM($J$2:J191)</f>
        <v>1184.083333333333</v>
      </c>
      <c r="L191" s="655">
        <f t="shared" si="13"/>
        <v>32428.527777777777</v>
      </c>
    </row>
    <row r="192" spans="6:12" x14ac:dyDescent="0.25">
      <c r="F192">
        <f t="shared" si="10"/>
        <v>15</v>
      </c>
      <c r="G192">
        <v>191</v>
      </c>
      <c r="H192" s="655">
        <f t="shared" si="14"/>
        <v>-1644.4444444444453</v>
      </c>
      <c r="I192" s="655">
        <f t="shared" si="11"/>
        <v>31408.888888888891</v>
      </c>
      <c r="J192" s="655">
        <f t="shared" si="12"/>
        <v>-0.68518518518518556</v>
      </c>
      <c r="K192" s="655">
        <f>SUM($J$2:J192)</f>
        <v>1183.3981481481478</v>
      </c>
      <c r="L192" s="655">
        <f t="shared" si="13"/>
        <v>32592.287037037036</v>
      </c>
    </row>
    <row r="193" spans="6:12" x14ac:dyDescent="0.25">
      <c r="F193">
        <f t="shared" si="10"/>
        <v>16</v>
      </c>
      <c r="G193">
        <v>192</v>
      </c>
      <c r="H193" s="655">
        <f t="shared" si="14"/>
        <v>-1808.8888888888905</v>
      </c>
      <c r="I193" s="655">
        <f t="shared" si="11"/>
        <v>31573.333333333336</v>
      </c>
      <c r="J193" s="655">
        <f t="shared" si="12"/>
        <v>-0.75370370370370443</v>
      </c>
      <c r="K193" s="655">
        <f>SUM($J$2:J193)</f>
        <v>1182.6444444444442</v>
      </c>
      <c r="L193" s="655">
        <f t="shared" si="13"/>
        <v>32755.977777777778</v>
      </c>
    </row>
    <row r="194" spans="6:12" x14ac:dyDescent="0.25">
      <c r="F194">
        <f t="shared" si="10"/>
        <v>16</v>
      </c>
      <c r="G194">
        <v>193</v>
      </c>
      <c r="H194" s="655">
        <f t="shared" si="14"/>
        <v>-1973.3333333333358</v>
      </c>
      <c r="I194" s="655">
        <f t="shared" si="11"/>
        <v>31737.777777777781</v>
      </c>
      <c r="J194" s="655">
        <f t="shared" si="12"/>
        <v>-0.8222222222222233</v>
      </c>
      <c r="K194" s="655">
        <f>SUM($J$2:J194)</f>
        <v>1181.8222222222219</v>
      </c>
      <c r="L194" s="655">
        <f t="shared" si="13"/>
        <v>32919.600000000006</v>
      </c>
    </row>
    <row r="195" spans="6:12" x14ac:dyDescent="0.25">
      <c r="F195">
        <f t="shared" ref="F195:F258" si="15">QUOTIENT(G195,12)</f>
        <v>16</v>
      </c>
      <c r="G195">
        <v>194</v>
      </c>
      <c r="H195" s="655">
        <f t="shared" si="14"/>
        <v>-2137.777777777781</v>
      </c>
      <c r="I195" s="655">
        <f t="shared" ref="I195:I258" si="16">G195*$D$9</f>
        <v>31902.222222222226</v>
      </c>
      <c r="J195" s="655">
        <f t="shared" ref="J195:J258" si="17">H195*$D$11</f>
        <v>-0.89074074074074217</v>
      </c>
      <c r="K195" s="655">
        <f>SUM($J$2:J195)</f>
        <v>1180.9314814814811</v>
      </c>
      <c r="L195" s="655">
        <f t="shared" ref="L195:L258" si="18">I195+K195</f>
        <v>33083.153703703705</v>
      </c>
    </row>
    <row r="196" spans="6:12" x14ac:dyDescent="0.25">
      <c r="F196">
        <f t="shared" si="15"/>
        <v>16</v>
      </c>
      <c r="G196">
        <v>195</v>
      </c>
      <c r="H196" s="655">
        <f t="shared" ref="H196:H259" si="19">$D$6-I195</f>
        <v>-2302.2222222222263</v>
      </c>
      <c r="I196" s="655">
        <f t="shared" si="16"/>
        <v>32066.666666666668</v>
      </c>
      <c r="J196" s="655">
        <f t="shared" si="17"/>
        <v>-0.95925925925926103</v>
      </c>
      <c r="K196" s="655">
        <f>SUM($J$2:J196)</f>
        <v>1179.9722222222219</v>
      </c>
      <c r="L196" s="655">
        <f t="shared" si="18"/>
        <v>33246.638888888891</v>
      </c>
    </row>
    <row r="197" spans="6:12" x14ac:dyDescent="0.25">
      <c r="F197">
        <f t="shared" si="15"/>
        <v>16</v>
      </c>
      <c r="G197">
        <v>196</v>
      </c>
      <c r="H197" s="655">
        <f t="shared" si="19"/>
        <v>-2466.6666666666679</v>
      </c>
      <c r="I197" s="655">
        <f t="shared" si="16"/>
        <v>32231.111111111113</v>
      </c>
      <c r="J197" s="655">
        <f t="shared" si="17"/>
        <v>-1.0277777777777783</v>
      </c>
      <c r="K197" s="655">
        <f>SUM($J$2:J197)</f>
        <v>1178.9444444444441</v>
      </c>
      <c r="L197" s="655">
        <f t="shared" si="18"/>
        <v>33410.055555555555</v>
      </c>
    </row>
    <row r="198" spans="6:12" x14ac:dyDescent="0.25">
      <c r="F198">
        <f t="shared" si="15"/>
        <v>16</v>
      </c>
      <c r="G198">
        <v>197</v>
      </c>
      <c r="H198" s="655">
        <f t="shared" si="19"/>
        <v>-2631.1111111111131</v>
      </c>
      <c r="I198" s="655">
        <f t="shared" si="16"/>
        <v>32395.555555555558</v>
      </c>
      <c r="J198" s="655">
        <f t="shared" si="17"/>
        <v>-1.0962962962962972</v>
      </c>
      <c r="K198" s="655">
        <f>SUM($J$2:J198)</f>
        <v>1177.8481481481479</v>
      </c>
      <c r="L198" s="655">
        <f t="shared" si="18"/>
        <v>33573.403703703705</v>
      </c>
    </row>
    <row r="199" spans="6:12" x14ac:dyDescent="0.25">
      <c r="F199">
        <f t="shared" si="15"/>
        <v>16</v>
      </c>
      <c r="G199">
        <v>198</v>
      </c>
      <c r="H199" s="655">
        <f t="shared" si="19"/>
        <v>-2795.5555555555584</v>
      </c>
      <c r="I199" s="655">
        <f t="shared" si="16"/>
        <v>32560.000000000004</v>
      </c>
      <c r="J199" s="655">
        <f t="shared" si="17"/>
        <v>-1.1648148148148161</v>
      </c>
      <c r="K199" s="655">
        <f>SUM($J$2:J199)</f>
        <v>1176.6833333333329</v>
      </c>
      <c r="L199" s="655">
        <f t="shared" si="18"/>
        <v>33736.683333333334</v>
      </c>
    </row>
    <row r="200" spans="6:12" x14ac:dyDescent="0.25">
      <c r="F200">
        <f t="shared" si="15"/>
        <v>16</v>
      </c>
      <c r="G200">
        <v>199</v>
      </c>
      <c r="H200" s="655">
        <f t="shared" si="19"/>
        <v>-2960.0000000000036</v>
      </c>
      <c r="I200" s="655">
        <f t="shared" si="16"/>
        <v>32724.444444444445</v>
      </c>
      <c r="J200" s="655">
        <f t="shared" si="17"/>
        <v>-1.2333333333333349</v>
      </c>
      <c r="K200" s="655">
        <f>SUM($J$2:J200)</f>
        <v>1175.4499999999996</v>
      </c>
      <c r="L200" s="655">
        <f t="shared" si="18"/>
        <v>33899.894444444442</v>
      </c>
    </row>
    <row r="201" spans="6:12" x14ac:dyDescent="0.25">
      <c r="F201">
        <f t="shared" si="15"/>
        <v>16</v>
      </c>
      <c r="G201">
        <v>200</v>
      </c>
      <c r="H201" s="655">
        <f t="shared" si="19"/>
        <v>-3124.4444444444453</v>
      </c>
      <c r="I201" s="655">
        <f t="shared" si="16"/>
        <v>32888.888888888891</v>
      </c>
      <c r="J201" s="655">
        <f t="shared" si="17"/>
        <v>-1.3018518518518523</v>
      </c>
      <c r="K201" s="655">
        <f>SUM($J$2:J201)</f>
        <v>1174.1481481481478</v>
      </c>
      <c r="L201" s="655">
        <f t="shared" si="18"/>
        <v>34063.037037037036</v>
      </c>
    </row>
    <row r="202" spans="6:12" x14ac:dyDescent="0.25">
      <c r="F202">
        <f t="shared" si="15"/>
        <v>16</v>
      </c>
      <c r="G202">
        <v>201</v>
      </c>
      <c r="H202" s="655">
        <f t="shared" si="19"/>
        <v>-3288.8888888888905</v>
      </c>
      <c r="I202" s="655">
        <f t="shared" si="16"/>
        <v>33053.333333333336</v>
      </c>
      <c r="J202" s="655">
        <f t="shared" si="17"/>
        <v>-1.3703703703703711</v>
      </c>
      <c r="K202" s="655">
        <f>SUM($J$2:J202)</f>
        <v>1172.7777777777774</v>
      </c>
      <c r="L202" s="655">
        <f t="shared" si="18"/>
        <v>34226.111111111109</v>
      </c>
    </row>
    <row r="203" spans="6:12" x14ac:dyDescent="0.25">
      <c r="F203">
        <f t="shared" si="15"/>
        <v>16</v>
      </c>
      <c r="G203">
        <v>202</v>
      </c>
      <c r="H203" s="655">
        <f t="shared" si="19"/>
        <v>-3453.3333333333358</v>
      </c>
      <c r="I203" s="655">
        <f t="shared" si="16"/>
        <v>33217.777777777781</v>
      </c>
      <c r="J203" s="655">
        <f t="shared" si="17"/>
        <v>-1.43888888888889</v>
      </c>
      <c r="K203" s="655">
        <f>SUM($J$2:J203)</f>
        <v>1171.3388888888885</v>
      </c>
      <c r="L203" s="655">
        <f t="shared" si="18"/>
        <v>34389.116666666669</v>
      </c>
    </row>
    <row r="204" spans="6:12" x14ac:dyDescent="0.25">
      <c r="F204">
        <f t="shared" si="15"/>
        <v>16</v>
      </c>
      <c r="G204">
        <v>203</v>
      </c>
      <c r="H204" s="655">
        <f t="shared" si="19"/>
        <v>-3617.777777777781</v>
      </c>
      <c r="I204" s="655">
        <f t="shared" si="16"/>
        <v>33382.222222222226</v>
      </c>
      <c r="J204" s="655">
        <f t="shared" si="17"/>
        <v>-1.5074074074074089</v>
      </c>
      <c r="K204" s="655">
        <f>SUM($J$2:J204)</f>
        <v>1169.8314814814812</v>
      </c>
      <c r="L204" s="655">
        <f t="shared" si="18"/>
        <v>34552.053703703707</v>
      </c>
    </row>
    <row r="205" spans="6:12" x14ac:dyDescent="0.25">
      <c r="F205">
        <f t="shared" si="15"/>
        <v>17</v>
      </c>
      <c r="G205">
        <v>204</v>
      </c>
      <c r="H205" s="655">
        <f t="shared" si="19"/>
        <v>-3782.2222222222263</v>
      </c>
      <c r="I205" s="655">
        <f t="shared" si="16"/>
        <v>33546.666666666672</v>
      </c>
      <c r="J205" s="655">
        <f t="shared" si="17"/>
        <v>-1.5759259259259277</v>
      </c>
      <c r="K205" s="655">
        <f>SUM($J$2:J205)</f>
        <v>1168.2555555555552</v>
      </c>
      <c r="L205" s="655">
        <f t="shared" si="18"/>
        <v>34714.922222222223</v>
      </c>
    </row>
    <row r="206" spans="6:12" x14ac:dyDescent="0.25">
      <c r="F206">
        <f t="shared" si="15"/>
        <v>17</v>
      </c>
      <c r="G206">
        <v>205</v>
      </c>
      <c r="H206" s="655">
        <f t="shared" si="19"/>
        <v>-3946.6666666666715</v>
      </c>
      <c r="I206" s="655">
        <f t="shared" si="16"/>
        <v>33711.111111111117</v>
      </c>
      <c r="J206" s="655">
        <f t="shared" si="17"/>
        <v>-1.6444444444444466</v>
      </c>
      <c r="K206" s="655">
        <f>SUM($J$2:J206)</f>
        <v>1166.6111111111109</v>
      </c>
      <c r="L206" s="655">
        <f t="shared" si="18"/>
        <v>34877.722222222226</v>
      </c>
    </row>
    <row r="207" spans="6:12" x14ac:dyDescent="0.25">
      <c r="F207">
        <f t="shared" si="15"/>
        <v>17</v>
      </c>
      <c r="G207">
        <v>206</v>
      </c>
      <c r="H207" s="655">
        <f t="shared" si="19"/>
        <v>-4111.1111111111168</v>
      </c>
      <c r="I207" s="655">
        <f t="shared" si="16"/>
        <v>33875.555555555555</v>
      </c>
      <c r="J207" s="655">
        <f t="shared" si="17"/>
        <v>-1.7129629629629655</v>
      </c>
      <c r="K207" s="655">
        <f>SUM($J$2:J207)</f>
        <v>1164.8981481481478</v>
      </c>
      <c r="L207" s="655">
        <f t="shared" si="18"/>
        <v>35040.453703703701</v>
      </c>
    </row>
    <row r="208" spans="6:12" x14ac:dyDescent="0.25">
      <c r="F208">
        <f t="shared" si="15"/>
        <v>17</v>
      </c>
      <c r="G208">
        <v>207</v>
      </c>
      <c r="H208" s="655">
        <f t="shared" si="19"/>
        <v>-4275.5555555555547</v>
      </c>
      <c r="I208" s="655">
        <f t="shared" si="16"/>
        <v>34040</v>
      </c>
      <c r="J208" s="655">
        <f t="shared" si="17"/>
        <v>-1.7814814814814812</v>
      </c>
      <c r="K208" s="655">
        <f>SUM($J$2:J208)</f>
        <v>1163.1166666666663</v>
      </c>
      <c r="L208" s="655">
        <f t="shared" si="18"/>
        <v>35203.116666666669</v>
      </c>
    </row>
    <row r="209" spans="6:12" x14ac:dyDescent="0.25">
      <c r="F209">
        <f t="shared" si="15"/>
        <v>17</v>
      </c>
      <c r="G209">
        <v>208</v>
      </c>
      <c r="H209" s="655">
        <f t="shared" si="19"/>
        <v>-4440</v>
      </c>
      <c r="I209" s="655">
        <f t="shared" si="16"/>
        <v>34204.444444444445</v>
      </c>
      <c r="J209" s="655">
        <f t="shared" si="17"/>
        <v>-1.85</v>
      </c>
      <c r="K209" s="655">
        <f>SUM($J$2:J209)</f>
        <v>1161.2666666666664</v>
      </c>
      <c r="L209" s="655">
        <f t="shared" si="18"/>
        <v>35365.711111111115</v>
      </c>
    </row>
    <row r="210" spans="6:12" x14ac:dyDescent="0.25">
      <c r="F210">
        <f t="shared" si="15"/>
        <v>17</v>
      </c>
      <c r="G210">
        <v>209</v>
      </c>
      <c r="H210" s="655">
        <f t="shared" si="19"/>
        <v>-4604.4444444444453</v>
      </c>
      <c r="I210" s="655">
        <f t="shared" si="16"/>
        <v>34368.888888888891</v>
      </c>
      <c r="J210" s="655">
        <f t="shared" si="17"/>
        <v>-1.918518518518519</v>
      </c>
      <c r="K210" s="655">
        <f>SUM($J$2:J210)</f>
        <v>1159.3481481481479</v>
      </c>
      <c r="L210" s="655">
        <f t="shared" si="18"/>
        <v>35528.237037037041</v>
      </c>
    </row>
    <row r="211" spans="6:12" x14ac:dyDescent="0.25">
      <c r="F211">
        <f t="shared" si="15"/>
        <v>17</v>
      </c>
      <c r="G211">
        <v>210</v>
      </c>
      <c r="H211" s="655">
        <f t="shared" si="19"/>
        <v>-4768.8888888888905</v>
      </c>
      <c r="I211" s="655">
        <f t="shared" si="16"/>
        <v>34533.333333333336</v>
      </c>
      <c r="J211" s="655">
        <f t="shared" si="17"/>
        <v>-1.9870370370370378</v>
      </c>
      <c r="K211" s="655">
        <f>SUM($J$2:J211)</f>
        <v>1157.3611111111109</v>
      </c>
      <c r="L211" s="655">
        <f t="shared" si="18"/>
        <v>35690.694444444445</v>
      </c>
    </row>
    <row r="212" spans="6:12" x14ac:dyDescent="0.25">
      <c r="F212">
        <f t="shared" si="15"/>
        <v>17</v>
      </c>
      <c r="G212">
        <v>211</v>
      </c>
      <c r="H212" s="655">
        <f t="shared" si="19"/>
        <v>-4933.3333333333358</v>
      </c>
      <c r="I212" s="655">
        <f t="shared" si="16"/>
        <v>34697.777777777781</v>
      </c>
      <c r="J212" s="655">
        <f t="shared" si="17"/>
        <v>-2.0555555555555567</v>
      </c>
      <c r="K212" s="655">
        <f>SUM($J$2:J212)</f>
        <v>1155.3055555555552</v>
      </c>
      <c r="L212" s="655">
        <f t="shared" si="18"/>
        <v>35853.083333333336</v>
      </c>
    </row>
    <row r="213" spans="6:12" x14ac:dyDescent="0.25">
      <c r="F213">
        <f t="shared" si="15"/>
        <v>17</v>
      </c>
      <c r="G213">
        <v>212</v>
      </c>
      <c r="H213" s="655">
        <f t="shared" si="19"/>
        <v>-5097.777777777781</v>
      </c>
      <c r="I213" s="655">
        <f t="shared" si="16"/>
        <v>34862.222222222226</v>
      </c>
      <c r="J213" s="655">
        <f t="shared" si="17"/>
        <v>-2.1240740740740756</v>
      </c>
      <c r="K213" s="655">
        <f>SUM($J$2:J213)</f>
        <v>1153.1814814814811</v>
      </c>
      <c r="L213" s="655">
        <f t="shared" si="18"/>
        <v>36015.403703703705</v>
      </c>
    </row>
    <row r="214" spans="6:12" x14ac:dyDescent="0.25">
      <c r="F214">
        <f t="shared" si="15"/>
        <v>17</v>
      </c>
      <c r="G214">
        <v>213</v>
      </c>
      <c r="H214" s="655">
        <f t="shared" si="19"/>
        <v>-5262.2222222222263</v>
      </c>
      <c r="I214" s="655">
        <f t="shared" si="16"/>
        <v>35026.666666666672</v>
      </c>
      <c r="J214" s="655">
        <f t="shared" si="17"/>
        <v>-2.1925925925925944</v>
      </c>
      <c r="K214" s="655">
        <f>SUM($J$2:J214)</f>
        <v>1150.9888888888886</v>
      </c>
      <c r="L214" s="655">
        <f t="shared" si="18"/>
        <v>36177.655555555561</v>
      </c>
    </row>
    <row r="215" spans="6:12" x14ac:dyDescent="0.25">
      <c r="F215">
        <f t="shared" si="15"/>
        <v>17</v>
      </c>
      <c r="G215">
        <v>214</v>
      </c>
      <c r="H215" s="655">
        <f t="shared" si="19"/>
        <v>-5426.6666666666715</v>
      </c>
      <c r="I215" s="655">
        <f t="shared" si="16"/>
        <v>35191.111111111117</v>
      </c>
      <c r="J215" s="655">
        <f t="shared" si="17"/>
        <v>-2.2611111111111133</v>
      </c>
      <c r="K215" s="655">
        <f>SUM($J$2:J215)</f>
        <v>1148.7277777777774</v>
      </c>
      <c r="L215" s="655">
        <f t="shared" si="18"/>
        <v>36339.838888888895</v>
      </c>
    </row>
    <row r="216" spans="6:12" x14ac:dyDescent="0.25">
      <c r="F216">
        <f t="shared" si="15"/>
        <v>17</v>
      </c>
      <c r="G216">
        <v>215</v>
      </c>
      <c r="H216" s="655">
        <f t="shared" si="19"/>
        <v>-5591.1111111111168</v>
      </c>
      <c r="I216" s="655">
        <f t="shared" si="16"/>
        <v>35355.555555555555</v>
      </c>
      <c r="J216" s="655">
        <f t="shared" si="17"/>
        <v>-2.3296296296296322</v>
      </c>
      <c r="K216" s="655">
        <f>SUM($J$2:J216)</f>
        <v>1146.3981481481478</v>
      </c>
      <c r="L216" s="655">
        <f t="shared" si="18"/>
        <v>36501.953703703701</v>
      </c>
    </row>
    <row r="217" spans="6:12" x14ac:dyDescent="0.25">
      <c r="F217">
        <f t="shared" si="15"/>
        <v>18</v>
      </c>
      <c r="G217">
        <v>216</v>
      </c>
      <c r="H217" s="655">
        <f t="shared" si="19"/>
        <v>-5755.5555555555547</v>
      </c>
      <c r="I217" s="655">
        <f t="shared" si="16"/>
        <v>35520</v>
      </c>
      <c r="J217" s="655">
        <f t="shared" si="17"/>
        <v>-2.3981481481481479</v>
      </c>
      <c r="K217" s="655">
        <f>SUM($J$2:J217)</f>
        <v>1143.9999999999998</v>
      </c>
      <c r="L217" s="655">
        <f t="shared" si="18"/>
        <v>36664</v>
      </c>
    </row>
    <row r="218" spans="6:12" x14ac:dyDescent="0.25">
      <c r="F218">
        <f t="shared" si="15"/>
        <v>18</v>
      </c>
      <c r="G218">
        <v>217</v>
      </c>
      <c r="H218" s="655">
        <f t="shared" si="19"/>
        <v>-5920</v>
      </c>
      <c r="I218" s="655">
        <f t="shared" si="16"/>
        <v>35684.444444444445</v>
      </c>
      <c r="J218" s="655">
        <f t="shared" si="17"/>
        <v>-2.4666666666666668</v>
      </c>
      <c r="K218" s="655">
        <f>SUM($J$2:J218)</f>
        <v>1141.5333333333331</v>
      </c>
      <c r="L218" s="655">
        <f t="shared" si="18"/>
        <v>36825.977777777778</v>
      </c>
    </row>
    <row r="219" spans="6:12" x14ac:dyDescent="0.25">
      <c r="F219">
        <f t="shared" si="15"/>
        <v>18</v>
      </c>
      <c r="G219">
        <v>218</v>
      </c>
      <c r="H219" s="655">
        <f t="shared" si="19"/>
        <v>-6084.4444444444453</v>
      </c>
      <c r="I219" s="655">
        <f t="shared" si="16"/>
        <v>35848.888888888891</v>
      </c>
      <c r="J219" s="655">
        <f t="shared" si="17"/>
        <v>-2.5351851851851857</v>
      </c>
      <c r="K219" s="655">
        <f>SUM($J$2:J219)</f>
        <v>1138.9981481481479</v>
      </c>
      <c r="L219" s="655">
        <f t="shared" si="18"/>
        <v>36987.887037037035</v>
      </c>
    </row>
    <row r="220" spans="6:12" x14ac:dyDescent="0.25">
      <c r="F220">
        <f t="shared" si="15"/>
        <v>18</v>
      </c>
      <c r="G220">
        <v>219</v>
      </c>
      <c r="H220" s="655">
        <f t="shared" si="19"/>
        <v>-6248.8888888888905</v>
      </c>
      <c r="I220" s="655">
        <f t="shared" si="16"/>
        <v>36013.333333333336</v>
      </c>
      <c r="J220" s="655">
        <f t="shared" si="17"/>
        <v>-2.6037037037037045</v>
      </c>
      <c r="K220" s="655">
        <f>SUM($J$2:J220)</f>
        <v>1136.3944444444442</v>
      </c>
      <c r="L220" s="655">
        <f t="shared" si="18"/>
        <v>37149.727777777778</v>
      </c>
    </row>
    <row r="221" spans="6:12" x14ac:dyDescent="0.25">
      <c r="F221">
        <f t="shared" si="15"/>
        <v>18</v>
      </c>
      <c r="G221">
        <v>220</v>
      </c>
      <c r="H221" s="655">
        <f t="shared" si="19"/>
        <v>-6413.3333333333358</v>
      </c>
      <c r="I221" s="655">
        <f t="shared" si="16"/>
        <v>36177.777777777781</v>
      </c>
      <c r="J221" s="655">
        <f t="shared" si="17"/>
        <v>-2.6722222222222234</v>
      </c>
      <c r="K221" s="655">
        <f>SUM($J$2:J221)</f>
        <v>1133.7222222222219</v>
      </c>
      <c r="L221" s="655">
        <f t="shared" si="18"/>
        <v>37311.5</v>
      </c>
    </row>
    <row r="222" spans="6:12" x14ac:dyDescent="0.25">
      <c r="F222">
        <f t="shared" si="15"/>
        <v>18</v>
      </c>
      <c r="G222">
        <v>221</v>
      </c>
      <c r="H222" s="655">
        <f t="shared" si="19"/>
        <v>-6577.777777777781</v>
      </c>
      <c r="I222" s="655">
        <f t="shared" si="16"/>
        <v>36342.222222222226</v>
      </c>
      <c r="J222" s="655">
        <f t="shared" si="17"/>
        <v>-2.7407407407407423</v>
      </c>
      <c r="K222" s="655">
        <f>SUM($J$2:J222)</f>
        <v>1130.9814814814813</v>
      </c>
      <c r="L222" s="655">
        <f t="shared" si="18"/>
        <v>37473.203703703708</v>
      </c>
    </row>
    <row r="223" spans="6:12" x14ac:dyDescent="0.25">
      <c r="F223">
        <f t="shared" si="15"/>
        <v>18</v>
      </c>
      <c r="G223">
        <v>222</v>
      </c>
      <c r="H223" s="655">
        <f t="shared" si="19"/>
        <v>-6742.2222222222263</v>
      </c>
      <c r="I223" s="655">
        <f t="shared" si="16"/>
        <v>36506.666666666672</v>
      </c>
      <c r="J223" s="655">
        <f t="shared" si="17"/>
        <v>-2.8092592592592611</v>
      </c>
      <c r="K223" s="655">
        <f>SUM($J$2:J223)</f>
        <v>1128.172222222222</v>
      </c>
      <c r="L223" s="655">
        <f t="shared" si="18"/>
        <v>37634.838888888895</v>
      </c>
    </row>
    <row r="224" spans="6:12" x14ac:dyDescent="0.25">
      <c r="F224">
        <f t="shared" si="15"/>
        <v>18</v>
      </c>
      <c r="G224">
        <v>223</v>
      </c>
      <c r="H224" s="655">
        <f t="shared" si="19"/>
        <v>-6906.6666666666715</v>
      </c>
      <c r="I224" s="655">
        <f t="shared" si="16"/>
        <v>36671.111111111117</v>
      </c>
      <c r="J224" s="655">
        <f t="shared" si="17"/>
        <v>-2.87777777777778</v>
      </c>
      <c r="K224" s="655">
        <f>SUM($J$2:J224)</f>
        <v>1125.2944444444443</v>
      </c>
      <c r="L224" s="655">
        <f t="shared" si="18"/>
        <v>37796.405555555561</v>
      </c>
    </row>
    <row r="225" spans="6:12" x14ac:dyDescent="0.25">
      <c r="F225">
        <f t="shared" si="15"/>
        <v>18</v>
      </c>
      <c r="G225">
        <v>224</v>
      </c>
      <c r="H225" s="655">
        <f t="shared" si="19"/>
        <v>-7071.1111111111168</v>
      </c>
      <c r="I225" s="655">
        <f t="shared" si="16"/>
        <v>36835.555555555562</v>
      </c>
      <c r="J225" s="655">
        <f t="shared" si="17"/>
        <v>-2.9462962962962989</v>
      </c>
      <c r="K225" s="655">
        <f>SUM($J$2:J225)</f>
        <v>1122.3481481481479</v>
      </c>
      <c r="L225" s="655">
        <f t="shared" si="18"/>
        <v>37957.903703703712</v>
      </c>
    </row>
    <row r="226" spans="6:12" x14ac:dyDescent="0.25">
      <c r="F226">
        <f t="shared" si="15"/>
        <v>18</v>
      </c>
      <c r="G226">
        <v>225</v>
      </c>
      <c r="H226" s="655">
        <f t="shared" si="19"/>
        <v>-7235.555555555562</v>
      </c>
      <c r="I226" s="655">
        <f t="shared" si="16"/>
        <v>37000</v>
      </c>
      <c r="J226" s="655">
        <f t="shared" si="17"/>
        <v>-3.0148148148148177</v>
      </c>
      <c r="K226" s="655">
        <f>SUM($J$2:J226)</f>
        <v>1119.333333333333</v>
      </c>
      <c r="L226" s="655">
        <f t="shared" si="18"/>
        <v>38119.333333333336</v>
      </c>
    </row>
    <row r="227" spans="6:12" x14ac:dyDescent="0.25">
      <c r="F227">
        <f t="shared" si="15"/>
        <v>18</v>
      </c>
      <c r="G227">
        <v>226</v>
      </c>
      <c r="H227" s="655">
        <f t="shared" si="19"/>
        <v>-7400</v>
      </c>
      <c r="I227" s="655">
        <f t="shared" si="16"/>
        <v>37164.444444444445</v>
      </c>
      <c r="J227" s="655">
        <f t="shared" si="17"/>
        <v>-3.0833333333333335</v>
      </c>
      <c r="K227" s="655">
        <f>SUM($J$2:J227)</f>
        <v>1116.2499999999998</v>
      </c>
      <c r="L227" s="655">
        <f t="shared" si="18"/>
        <v>38280.694444444445</v>
      </c>
    </row>
    <row r="228" spans="6:12" x14ac:dyDescent="0.25">
      <c r="F228">
        <f t="shared" si="15"/>
        <v>18</v>
      </c>
      <c r="G228">
        <v>227</v>
      </c>
      <c r="H228" s="655">
        <f t="shared" si="19"/>
        <v>-7564.4444444444453</v>
      </c>
      <c r="I228" s="655">
        <f t="shared" si="16"/>
        <v>37328.888888888891</v>
      </c>
      <c r="J228" s="655">
        <f t="shared" si="17"/>
        <v>-3.1518518518518523</v>
      </c>
      <c r="K228" s="655">
        <f>SUM($J$2:J228)</f>
        <v>1113.0981481481479</v>
      </c>
      <c r="L228" s="655">
        <f t="shared" si="18"/>
        <v>38441.987037037041</v>
      </c>
    </row>
    <row r="229" spans="6:12" x14ac:dyDescent="0.25">
      <c r="F229">
        <f t="shared" si="15"/>
        <v>19</v>
      </c>
      <c r="G229">
        <v>228</v>
      </c>
      <c r="H229" s="655">
        <f t="shared" si="19"/>
        <v>-7728.8888888888905</v>
      </c>
      <c r="I229" s="655">
        <f t="shared" si="16"/>
        <v>37493.333333333336</v>
      </c>
      <c r="J229" s="655">
        <f t="shared" si="17"/>
        <v>-3.2203703703703712</v>
      </c>
      <c r="K229" s="655">
        <f>SUM($J$2:J229)</f>
        <v>1109.8777777777775</v>
      </c>
      <c r="L229" s="655">
        <f t="shared" si="18"/>
        <v>38603.211111111115</v>
      </c>
    </row>
    <row r="230" spans="6:12" x14ac:dyDescent="0.25">
      <c r="F230">
        <f t="shared" si="15"/>
        <v>19</v>
      </c>
      <c r="G230">
        <v>229</v>
      </c>
      <c r="H230" s="655">
        <f t="shared" si="19"/>
        <v>-7893.3333333333358</v>
      </c>
      <c r="I230" s="655">
        <f t="shared" si="16"/>
        <v>37657.777777777781</v>
      </c>
      <c r="J230" s="655">
        <f t="shared" si="17"/>
        <v>-3.2888888888888901</v>
      </c>
      <c r="K230" s="655">
        <f>SUM($J$2:J230)</f>
        <v>1106.5888888888887</v>
      </c>
      <c r="L230" s="655">
        <f t="shared" si="18"/>
        <v>38764.366666666669</v>
      </c>
    </row>
    <row r="231" spans="6:12" x14ac:dyDescent="0.25">
      <c r="F231">
        <f t="shared" si="15"/>
        <v>19</v>
      </c>
      <c r="G231">
        <v>230</v>
      </c>
      <c r="H231" s="655">
        <f t="shared" si="19"/>
        <v>-8057.777777777781</v>
      </c>
      <c r="I231" s="655">
        <f t="shared" si="16"/>
        <v>37822.222222222226</v>
      </c>
      <c r="J231" s="655">
        <f t="shared" si="17"/>
        <v>-3.357407407407409</v>
      </c>
      <c r="K231" s="655">
        <f>SUM($J$2:J231)</f>
        <v>1103.2314814814813</v>
      </c>
      <c r="L231" s="655">
        <f t="shared" si="18"/>
        <v>38925.453703703708</v>
      </c>
    </row>
    <row r="232" spans="6:12" x14ac:dyDescent="0.25">
      <c r="F232">
        <f t="shared" si="15"/>
        <v>19</v>
      </c>
      <c r="G232">
        <v>231</v>
      </c>
      <c r="H232" s="655">
        <f t="shared" si="19"/>
        <v>-8222.2222222222263</v>
      </c>
      <c r="I232" s="655">
        <f t="shared" si="16"/>
        <v>37986.666666666672</v>
      </c>
      <c r="J232" s="655">
        <f t="shared" si="17"/>
        <v>-3.4259259259259278</v>
      </c>
      <c r="K232" s="655">
        <f>SUM($J$2:J232)</f>
        <v>1099.8055555555554</v>
      </c>
      <c r="L232" s="655">
        <f t="shared" si="18"/>
        <v>39086.472222222226</v>
      </c>
    </row>
    <row r="233" spans="6:12" x14ac:dyDescent="0.25">
      <c r="F233">
        <f t="shared" si="15"/>
        <v>19</v>
      </c>
      <c r="G233">
        <v>232</v>
      </c>
      <c r="H233" s="655">
        <f t="shared" si="19"/>
        <v>-8386.6666666666715</v>
      </c>
      <c r="I233" s="655">
        <f t="shared" si="16"/>
        <v>38151.111111111117</v>
      </c>
      <c r="J233" s="655">
        <f t="shared" si="17"/>
        <v>-3.4944444444444467</v>
      </c>
      <c r="K233" s="655">
        <f>SUM($J$2:J233)</f>
        <v>1096.3111111111109</v>
      </c>
      <c r="L233" s="655">
        <f t="shared" si="18"/>
        <v>39247.422222222231</v>
      </c>
    </row>
    <row r="234" spans="6:12" x14ac:dyDescent="0.25">
      <c r="F234">
        <f t="shared" si="15"/>
        <v>19</v>
      </c>
      <c r="G234">
        <v>233</v>
      </c>
      <c r="H234" s="655">
        <f t="shared" si="19"/>
        <v>-8551.1111111111168</v>
      </c>
      <c r="I234" s="655">
        <f t="shared" si="16"/>
        <v>38315.555555555562</v>
      </c>
      <c r="J234" s="655">
        <f t="shared" si="17"/>
        <v>-3.5629629629629656</v>
      </c>
      <c r="K234" s="655">
        <f>SUM($J$2:J234)</f>
        <v>1092.7481481481479</v>
      </c>
      <c r="L234" s="655">
        <f t="shared" si="18"/>
        <v>39408.303703703707</v>
      </c>
    </row>
    <row r="235" spans="6:12" x14ac:dyDescent="0.25">
      <c r="F235">
        <f t="shared" si="15"/>
        <v>19</v>
      </c>
      <c r="G235">
        <v>234</v>
      </c>
      <c r="H235" s="655">
        <f t="shared" si="19"/>
        <v>-8715.555555555562</v>
      </c>
      <c r="I235" s="655">
        <f t="shared" si="16"/>
        <v>38480</v>
      </c>
      <c r="J235" s="655">
        <f t="shared" si="17"/>
        <v>-3.6314814814814844</v>
      </c>
      <c r="K235" s="655">
        <f>SUM($J$2:J235)</f>
        <v>1089.1166666666666</v>
      </c>
      <c r="L235" s="655">
        <f t="shared" si="18"/>
        <v>39569.116666666669</v>
      </c>
    </row>
    <row r="236" spans="6:12" x14ac:dyDescent="0.25">
      <c r="F236">
        <f t="shared" si="15"/>
        <v>19</v>
      </c>
      <c r="G236">
        <v>235</v>
      </c>
      <c r="H236" s="655">
        <f t="shared" si="19"/>
        <v>-8880</v>
      </c>
      <c r="I236" s="655">
        <f t="shared" si="16"/>
        <v>38644.444444444445</v>
      </c>
      <c r="J236" s="655">
        <f t="shared" si="17"/>
        <v>-3.7</v>
      </c>
      <c r="K236" s="655">
        <f>SUM($J$2:J236)</f>
        <v>1085.4166666666665</v>
      </c>
      <c r="L236" s="655">
        <f t="shared" si="18"/>
        <v>39729.861111111109</v>
      </c>
    </row>
    <row r="237" spans="6:12" x14ac:dyDescent="0.25">
      <c r="F237">
        <f t="shared" si="15"/>
        <v>19</v>
      </c>
      <c r="G237">
        <v>236</v>
      </c>
      <c r="H237" s="655">
        <f t="shared" si="19"/>
        <v>-9044.4444444444453</v>
      </c>
      <c r="I237" s="655">
        <f t="shared" si="16"/>
        <v>38808.888888888891</v>
      </c>
      <c r="J237" s="655">
        <f t="shared" si="17"/>
        <v>-3.768518518518519</v>
      </c>
      <c r="K237" s="655">
        <f>SUM($J$2:J237)</f>
        <v>1081.648148148148</v>
      </c>
      <c r="L237" s="655">
        <f t="shared" si="18"/>
        <v>39890.537037037036</v>
      </c>
    </row>
    <row r="238" spans="6:12" x14ac:dyDescent="0.25">
      <c r="F238">
        <f t="shared" si="15"/>
        <v>19</v>
      </c>
      <c r="G238">
        <v>237</v>
      </c>
      <c r="H238" s="655">
        <f t="shared" si="19"/>
        <v>-9208.8888888888905</v>
      </c>
      <c r="I238" s="655">
        <f t="shared" si="16"/>
        <v>38973.333333333336</v>
      </c>
      <c r="J238" s="655">
        <f t="shared" si="17"/>
        <v>-3.8370370370370379</v>
      </c>
      <c r="K238" s="655">
        <f>SUM($J$2:J238)</f>
        <v>1077.8111111111109</v>
      </c>
      <c r="L238" s="655">
        <f t="shared" si="18"/>
        <v>40051.14444444445</v>
      </c>
    </row>
    <row r="239" spans="6:12" x14ac:dyDescent="0.25">
      <c r="F239">
        <f t="shared" si="15"/>
        <v>19</v>
      </c>
      <c r="G239">
        <v>238</v>
      </c>
      <c r="H239" s="655">
        <f t="shared" si="19"/>
        <v>-9373.3333333333358</v>
      </c>
      <c r="I239" s="655">
        <f t="shared" si="16"/>
        <v>39137.777777777781</v>
      </c>
      <c r="J239" s="655">
        <f t="shared" si="17"/>
        <v>-3.9055555555555568</v>
      </c>
      <c r="K239" s="655">
        <f>SUM($J$2:J239)</f>
        <v>1073.9055555555553</v>
      </c>
      <c r="L239" s="655">
        <f t="shared" si="18"/>
        <v>40211.683333333334</v>
      </c>
    </row>
    <row r="240" spans="6:12" x14ac:dyDescent="0.25">
      <c r="F240">
        <f t="shared" si="15"/>
        <v>19</v>
      </c>
      <c r="G240">
        <v>239</v>
      </c>
      <c r="H240" s="655">
        <f t="shared" si="19"/>
        <v>-9537.777777777781</v>
      </c>
      <c r="I240" s="655">
        <f t="shared" si="16"/>
        <v>39302.222222222226</v>
      </c>
      <c r="J240" s="655">
        <f t="shared" si="17"/>
        <v>-3.9740740740740756</v>
      </c>
      <c r="K240" s="655">
        <f>SUM($J$2:J240)</f>
        <v>1069.9314814814813</v>
      </c>
      <c r="L240" s="655">
        <f t="shared" si="18"/>
        <v>40372.153703703705</v>
      </c>
    </row>
    <row r="241" spans="6:12" x14ac:dyDescent="0.25">
      <c r="F241">
        <f t="shared" si="15"/>
        <v>20</v>
      </c>
      <c r="G241">
        <v>240</v>
      </c>
      <c r="H241" s="655">
        <f t="shared" si="19"/>
        <v>-9702.2222222222263</v>
      </c>
      <c r="I241" s="655">
        <f t="shared" si="16"/>
        <v>39466.666666666672</v>
      </c>
      <c r="J241" s="655">
        <f t="shared" si="17"/>
        <v>-4.0425925925925945</v>
      </c>
      <c r="K241" s="655">
        <f>SUM($J$2:J241)</f>
        <v>1065.8888888888887</v>
      </c>
      <c r="L241" s="655">
        <f t="shared" si="18"/>
        <v>40532.555555555562</v>
      </c>
    </row>
    <row r="242" spans="6:12" x14ac:dyDescent="0.25">
      <c r="F242">
        <f t="shared" si="15"/>
        <v>20</v>
      </c>
      <c r="G242">
        <v>241</v>
      </c>
      <c r="H242" s="655">
        <f t="shared" si="19"/>
        <v>-9866.6666666666715</v>
      </c>
      <c r="I242" s="655">
        <f t="shared" si="16"/>
        <v>39631.111111111117</v>
      </c>
      <c r="J242" s="655">
        <f t="shared" si="17"/>
        <v>-4.1111111111111134</v>
      </c>
      <c r="K242" s="655">
        <f>SUM($J$2:J242)</f>
        <v>1061.7777777777776</v>
      </c>
      <c r="L242" s="655">
        <f t="shared" si="18"/>
        <v>40692.888888888898</v>
      </c>
    </row>
    <row r="243" spans="6:12" x14ac:dyDescent="0.25">
      <c r="F243">
        <f t="shared" si="15"/>
        <v>20</v>
      </c>
      <c r="G243">
        <v>242</v>
      </c>
      <c r="H243" s="655">
        <f t="shared" si="19"/>
        <v>-10031.111111111117</v>
      </c>
      <c r="I243" s="655">
        <f t="shared" si="16"/>
        <v>39795.555555555562</v>
      </c>
      <c r="J243" s="655">
        <f t="shared" si="17"/>
        <v>-4.1796296296296322</v>
      </c>
      <c r="K243" s="655">
        <f>SUM($J$2:J243)</f>
        <v>1057.5981481481479</v>
      </c>
      <c r="L243" s="655">
        <f t="shared" si="18"/>
        <v>40853.153703703712</v>
      </c>
    </row>
    <row r="244" spans="6:12" x14ac:dyDescent="0.25">
      <c r="F244">
        <f t="shared" si="15"/>
        <v>20</v>
      </c>
      <c r="G244">
        <v>243</v>
      </c>
      <c r="H244" s="655">
        <f t="shared" si="19"/>
        <v>-10195.555555555562</v>
      </c>
      <c r="I244" s="655">
        <f t="shared" si="16"/>
        <v>39960</v>
      </c>
      <c r="J244" s="655">
        <f t="shared" si="17"/>
        <v>-4.2481481481481511</v>
      </c>
      <c r="K244" s="655">
        <f>SUM($J$2:J244)</f>
        <v>1053.3499999999997</v>
      </c>
      <c r="L244" s="655">
        <f t="shared" si="18"/>
        <v>41013.35</v>
      </c>
    </row>
    <row r="245" spans="6:12" x14ac:dyDescent="0.25">
      <c r="F245">
        <f t="shared" si="15"/>
        <v>20</v>
      </c>
      <c r="G245">
        <v>244</v>
      </c>
      <c r="H245" s="655">
        <f t="shared" si="19"/>
        <v>-10360</v>
      </c>
      <c r="I245" s="655">
        <f t="shared" si="16"/>
        <v>40124.444444444445</v>
      </c>
      <c r="J245" s="655">
        <f t="shared" si="17"/>
        <v>-4.3166666666666673</v>
      </c>
      <c r="K245" s="655">
        <f>SUM($J$2:J245)</f>
        <v>1049.0333333333331</v>
      </c>
      <c r="L245" s="655">
        <f t="shared" si="18"/>
        <v>41173.477777777778</v>
      </c>
    </row>
    <row r="246" spans="6:12" x14ac:dyDescent="0.25">
      <c r="F246">
        <f t="shared" si="15"/>
        <v>20</v>
      </c>
      <c r="G246">
        <v>245</v>
      </c>
      <c r="H246" s="655">
        <f t="shared" si="19"/>
        <v>-10524.444444444445</v>
      </c>
      <c r="I246" s="655">
        <f t="shared" si="16"/>
        <v>40288.888888888891</v>
      </c>
      <c r="J246" s="655">
        <f t="shared" si="17"/>
        <v>-4.3851851851851862</v>
      </c>
      <c r="K246" s="655">
        <f>SUM($J$2:J246)</f>
        <v>1044.6481481481478</v>
      </c>
      <c r="L246" s="655">
        <f t="shared" si="18"/>
        <v>41333.537037037036</v>
      </c>
    </row>
    <row r="247" spans="6:12" x14ac:dyDescent="0.25">
      <c r="F247">
        <f t="shared" si="15"/>
        <v>20</v>
      </c>
      <c r="G247">
        <v>246</v>
      </c>
      <c r="H247" s="655">
        <f t="shared" si="19"/>
        <v>-10688.888888888891</v>
      </c>
      <c r="I247" s="655">
        <f t="shared" si="16"/>
        <v>40453.333333333336</v>
      </c>
      <c r="J247" s="655">
        <f t="shared" si="17"/>
        <v>-4.4537037037037051</v>
      </c>
      <c r="K247" s="655">
        <f>SUM($J$2:J247)</f>
        <v>1040.1944444444441</v>
      </c>
      <c r="L247" s="655">
        <f t="shared" si="18"/>
        <v>41493.527777777781</v>
      </c>
    </row>
    <row r="248" spans="6:12" x14ac:dyDescent="0.25">
      <c r="F248">
        <f t="shared" si="15"/>
        <v>20</v>
      </c>
      <c r="G248">
        <v>247</v>
      </c>
      <c r="H248" s="655">
        <f t="shared" si="19"/>
        <v>-10853.333333333336</v>
      </c>
      <c r="I248" s="655">
        <f t="shared" si="16"/>
        <v>40617.777777777781</v>
      </c>
      <c r="J248" s="655">
        <f t="shared" si="17"/>
        <v>-4.5222222222222239</v>
      </c>
      <c r="K248" s="655">
        <f>SUM($J$2:J248)</f>
        <v>1035.672222222222</v>
      </c>
      <c r="L248" s="655">
        <f t="shared" si="18"/>
        <v>41653.450000000004</v>
      </c>
    </row>
    <row r="249" spans="6:12" x14ac:dyDescent="0.25">
      <c r="F249">
        <f t="shared" si="15"/>
        <v>20</v>
      </c>
      <c r="G249">
        <v>248</v>
      </c>
      <c r="H249" s="655">
        <f t="shared" si="19"/>
        <v>-11017.777777777781</v>
      </c>
      <c r="I249" s="655">
        <f t="shared" si="16"/>
        <v>40782.222222222226</v>
      </c>
      <c r="J249" s="655">
        <f t="shared" si="17"/>
        <v>-4.5907407407407428</v>
      </c>
      <c r="K249" s="655">
        <f>SUM($J$2:J249)</f>
        <v>1031.0814814814812</v>
      </c>
      <c r="L249" s="655">
        <f t="shared" si="18"/>
        <v>41813.303703703707</v>
      </c>
    </row>
    <row r="250" spans="6:12" x14ac:dyDescent="0.25">
      <c r="F250">
        <f t="shared" si="15"/>
        <v>20</v>
      </c>
      <c r="G250">
        <v>249</v>
      </c>
      <c r="H250" s="655">
        <f t="shared" si="19"/>
        <v>-11182.222222222226</v>
      </c>
      <c r="I250" s="655">
        <f t="shared" si="16"/>
        <v>40946.666666666672</v>
      </c>
      <c r="J250" s="655">
        <f t="shared" si="17"/>
        <v>-4.6592592592592617</v>
      </c>
      <c r="K250" s="655">
        <f>SUM($J$2:J250)</f>
        <v>1026.422222222222</v>
      </c>
      <c r="L250" s="655">
        <f t="shared" si="18"/>
        <v>41973.088888888895</v>
      </c>
    </row>
    <row r="251" spans="6:12" x14ac:dyDescent="0.25">
      <c r="F251">
        <f t="shared" si="15"/>
        <v>20</v>
      </c>
      <c r="G251">
        <v>250</v>
      </c>
      <c r="H251" s="655">
        <f t="shared" si="19"/>
        <v>-11346.666666666672</v>
      </c>
      <c r="I251" s="655">
        <f t="shared" si="16"/>
        <v>41111.111111111117</v>
      </c>
      <c r="J251" s="655">
        <f t="shared" si="17"/>
        <v>-4.7277777777777805</v>
      </c>
      <c r="K251" s="655">
        <f>SUM($J$2:J251)</f>
        <v>1021.6944444444442</v>
      </c>
      <c r="L251" s="655">
        <f t="shared" si="18"/>
        <v>42132.805555555562</v>
      </c>
    </row>
    <row r="252" spans="6:12" x14ac:dyDescent="0.25">
      <c r="F252">
        <f t="shared" si="15"/>
        <v>20</v>
      </c>
      <c r="G252">
        <v>251</v>
      </c>
      <c r="H252" s="655">
        <f t="shared" si="19"/>
        <v>-11511.111111111117</v>
      </c>
      <c r="I252" s="655">
        <f t="shared" si="16"/>
        <v>41275.555555555562</v>
      </c>
      <c r="J252" s="655">
        <f t="shared" si="17"/>
        <v>-4.7962962962962994</v>
      </c>
      <c r="K252" s="655">
        <f>SUM($J$2:J252)</f>
        <v>1016.8981481481479</v>
      </c>
      <c r="L252" s="655">
        <f t="shared" si="18"/>
        <v>42292.453703703708</v>
      </c>
    </row>
    <row r="253" spans="6:12" x14ac:dyDescent="0.25">
      <c r="F253">
        <f t="shared" si="15"/>
        <v>21</v>
      </c>
      <c r="G253">
        <v>252</v>
      </c>
      <c r="H253" s="655">
        <f t="shared" si="19"/>
        <v>-11675.555555555562</v>
      </c>
      <c r="I253" s="655">
        <f t="shared" si="16"/>
        <v>41440</v>
      </c>
      <c r="J253" s="655">
        <f t="shared" si="17"/>
        <v>-4.8648148148148183</v>
      </c>
      <c r="K253" s="655">
        <f>SUM($J$2:J253)</f>
        <v>1012.0333333333331</v>
      </c>
      <c r="L253" s="655">
        <f t="shared" si="18"/>
        <v>42452.033333333333</v>
      </c>
    </row>
    <row r="254" spans="6:12" x14ac:dyDescent="0.25">
      <c r="F254">
        <f t="shared" si="15"/>
        <v>21</v>
      </c>
      <c r="G254">
        <v>253</v>
      </c>
      <c r="H254" s="655">
        <f t="shared" si="19"/>
        <v>-11840</v>
      </c>
      <c r="I254" s="655">
        <f t="shared" si="16"/>
        <v>41604.444444444445</v>
      </c>
      <c r="J254" s="655">
        <f t="shared" si="17"/>
        <v>-4.9333333333333336</v>
      </c>
      <c r="K254" s="655">
        <f>SUM($J$2:J254)</f>
        <v>1007.0999999999998</v>
      </c>
      <c r="L254" s="655">
        <f t="shared" si="18"/>
        <v>42611.544444444444</v>
      </c>
    </row>
    <row r="255" spans="6:12" x14ac:dyDescent="0.25">
      <c r="F255">
        <f t="shared" si="15"/>
        <v>21</v>
      </c>
      <c r="G255">
        <v>254</v>
      </c>
      <c r="H255" s="655">
        <f t="shared" si="19"/>
        <v>-12004.444444444445</v>
      </c>
      <c r="I255" s="655">
        <f t="shared" si="16"/>
        <v>41768.888888888891</v>
      </c>
      <c r="J255" s="655">
        <f t="shared" si="17"/>
        <v>-5.0018518518518524</v>
      </c>
      <c r="K255" s="655">
        <f>SUM($J$2:J255)</f>
        <v>1002.098148148148</v>
      </c>
      <c r="L255" s="655">
        <f t="shared" si="18"/>
        <v>42770.987037037041</v>
      </c>
    </row>
    <row r="256" spans="6:12" x14ac:dyDescent="0.25">
      <c r="F256">
        <f t="shared" si="15"/>
        <v>21</v>
      </c>
      <c r="G256">
        <v>255</v>
      </c>
      <c r="H256" s="655">
        <f t="shared" si="19"/>
        <v>-12168.888888888891</v>
      </c>
      <c r="I256" s="655">
        <f t="shared" si="16"/>
        <v>41933.333333333336</v>
      </c>
      <c r="J256" s="655">
        <f t="shared" si="17"/>
        <v>-5.0703703703703713</v>
      </c>
      <c r="K256" s="655">
        <f>SUM($J$2:J256)</f>
        <v>997.0277777777776</v>
      </c>
      <c r="L256" s="655">
        <f t="shared" si="18"/>
        <v>42930.361111111117</v>
      </c>
    </row>
    <row r="257" spans="6:12" x14ac:dyDescent="0.25">
      <c r="F257">
        <f t="shared" si="15"/>
        <v>21</v>
      </c>
      <c r="G257">
        <v>256</v>
      </c>
      <c r="H257" s="655">
        <f t="shared" si="19"/>
        <v>-12333.333333333336</v>
      </c>
      <c r="I257" s="655">
        <f t="shared" si="16"/>
        <v>42097.777777777781</v>
      </c>
      <c r="J257" s="655">
        <f t="shared" si="17"/>
        <v>-5.1388888888888902</v>
      </c>
      <c r="K257" s="655">
        <f>SUM($J$2:J257)</f>
        <v>991.88888888888869</v>
      </c>
      <c r="L257" s="655">
        <f t="shared" si="18"/>
        <v>43089.666666666672</v>
      </c>
    </row>
    <row r="258" spans="6:12" x14ac:dyDescent="0.25">
      <c r="F258">
        <f t="shared" si="15"/>
        <v>21</v>
      </c>
      <c r="G258">
        <v>257</v>
      </c>
      <c r="H258" s="655">
        <f t="shared" si="19"/>
        <v>-12497.777777777781</v>
      </c>
      <c r="I258" s="655">
        <f t="shared" si="16"/>
        <v>42262.222222222226</v>
      </c>
      <c r="J258" s="655">
        <f t="shared" si="17"/>
        <v>-5.207407407407409</v>
      </c>
      <c r="K258" s="655">
        <f>SUM($J$2:J258)</f>
        <v>986.68148148148123</v>
      </c>
      <c r="L258" s="655">
        <f t="shared" si="18"/>
        <v>43248.903703703705</v>
      </c>
    </row>
    <row r="259" spans="6:12" x14ac:dyDescent="0.25">
      <c r="F259">
        <f t="shared" ref="F259:F301" si="20">QUOTIENT(G259,12)</f>
        <v>21</v>
      </c>
      <c r="G259">
        <v>258</v>
      </c>
      <c r="H259" s="655">
        <f t="shared" si="19"/>
        <v>-12662.222222222226</v>
      </c>
      <c r="I259" s="655">
        <f t="shared" ref="I259:I301" si="21">G259*$D$9</f>
        <v>42426.666666666672</v>
      </c>
      <c r="J259" s="655">
        <f t="shared" ref="J259:J301" si="22">H259*$D$11</f>
        <v>-5.2759259259259279</v>
      </c>
      <c r="K259" s="655">
        <f>SUM($J$2:J259)</f>
        <v>981.40555555555534</v>
      </c>
      <c r="L259" s="655">
        <f t="shared" ref="L259:L301" si="23">I259+K259</f>
        <v>43408.072222222225</v>
      </c>
    </row>
    <row r="260" spans="6:12" x14ac:dyDescent="0.25">
      <c r="F260">
        <f t="shared" si="20"/>
        <v>21</v>
      </c>
      <c r="G260">
        <v>259</v>
      </c>
      <c r="H260" s="655">
        <f t="shared" ref="H260:H301" si="24">$D$6-I259</f>
        <v>-12826.666666666672</v>
      </c>
      <c r="I260" s="655">
        <f t="shared" si="21"/>
        <v>42591.111111111117</v>
      </c>
      <c r="J260" s="655">
        <f t="shared" si="22"/>
        <v>-5.3444444444444468</v>
      </c>
      <c r="K260" s="655">
        <f>SUM($J$2:J260)</f>
        <v>976.0611111111109</v>
      </c>
      <c r="L260" s="655">
        <f t="shared" si="23"/>
        <v>43567.172222222231</v>
      </c>
    </row>
    <row r="261" spans="6:12" x14ac:dyDescent="0.25">
      <c r="F261">
        <f t="shared" si="20"/>
        <v>21</v>
      </c>
      <c r="G261">
        <v>260</v>
      </c>
      <c r="H261" s="655">
        <f t="shared" si="24"/>
        <v>-12991.111111111117</v>
      </c>
      <c r="I261" s="655">
        <f t="shared" si="21"/>
        <v>42755.555555555562</v>
      </c>
      <c r="J261" s="655">
        <f t="shared" si="22"/>
        <v>-5.4129629629629656</v>
      </c>
      <c r="K261" s="655">
        <f>SUM($J$2:J261)</f>
        <v>970.64814814814792</v>
      </c>
      <c r="L261" s="655">
        <f t="shared" si="23"/>
        <v>43726.203703703708</v>
      </c>
    </row>
    <row r="262" spans="6:12" x14ac:dyDescent="0.25">
      <c r="F262">
        <f t="shared" si="20"/>
        <v>21</v>
      </c>
      <c r="G262">
        <v>261</v>
      </c>
      <c r="H262" s="655">
        <f t="shared" si="24"/>
        <v>-13155.555555555562</v>
      </c>
      <c r="I262" s="655">
        <f t="shared" si="21"/>
        <v>42920</v>
      </c>
      <c r="J262" s="655">
        <f t="shared" si="22"/>
        <v>-5.4814814814814845</v>
      </c>
      <c r="K262" s="655">
        <f>SUM($J$2:J262)</f>
        <v>965.1666666666664</v>
      </c>
      <c r="L262" s="655">
        <f t="shared" si="23"/>
        <v>43885.166666666664</v>
      </c>
    </row>
    <row r="263" spans="6:12" x14ac:dyDescent="0.25">
      <c r="F263">
        <f t="shared" si="20"/>
        <v>21</v>
      </c>
      <c r="G263">
        <v>262</v>
      </c>
      <c r="H263" s="655">
        <f t="shared" si="24"/>
        <v>-13320</v>
      </c>
      <c r="I263" s="655">
        <f t="shared" si="21"/>
        <v>43084.444444444445</v>
      </c>
      <c r="J263" s="655">
        <f t="shared" si="22"/>
        <v>-5.5500000000000007</v>
      </c>
      <c r="K263" s="655">
        <f>SUM($J$2:J263)</f>
        <v>959.61666666666645</v>
      </c>
      <c r="L263" s="655">
        <f t="shared" si="23"/>
        <v>44044.061111111114</v>
      </c>
    </row>
    <row r="264" spans="6:12" x14ac:dyDescent="0.25">
      <c r="F264">
        <f t="shared" si="20"/>
        <v>21</v>
      </c>
      <c r="G264">
        <v>263</v>
      </c>
      <c r="H264" s="655">
        <f t="shared" si="24"/>
        <v>-13484.444444444445</v>
      </c>
      <c r="I264" s="655">
        <f t="shared" si="21"/>
        <v>43248.888888888891</v>
      </c>
      <c r="J264" s="655">
        <f t="shared" si="22"/>
        <v>-5.6185185185185196</v>
      </c>
      <c r="K264" s="655">
        <f>SUM($J$2:J264)</f>
        <v>953.99814814814795</v>
      </c>
      <c r="L264" s="655">
        <f t="shared" si="23"/>
        <v>44202.887037037035</v>
      </c>
    </row>
    <row r="265" spans="6:12" x14ac:dyDescent="0.25">
      <c r="F265">
        <f t="shared" si="20"/>
        <v>22</v>
      </c>
      <c r="G265">
        <v>264</v>
      </c>
      <c r="H265" s="655">
        <f t="shared" si="24"/>
        <v>-13648.888888888891</v>
      </c>
      <c r="I265" s="655">
        <f t="shared" si="21"/>
        <v>43413.333333333336</v>
      </c>
      <c r="J265" s="655">
        <f t="shared" si="22"/>
        <v>-5.6870370370370384</v>
      </c>
      <c r="K265" s="655">
        <f>SUM($J$2:J265)</f>
        <v>948.3111111111109</v>
      </c>
      <c r="L265" s="655">
        <f t="shared" si="23"/>
        <v>44361.64444444445</v>
      </c>
    </row>
    <row r="266" spans="6:12" x14ac:dyDescent="0.25">
      <c r="F266">
        <f t="shared" si="20"/>
        <v>22</v>
      </c>
      <c r="G266">
        <v>265</v>
      </c>
      <c r="H266" s="655">
        <f t="shared" si="24"/>
        <v>-13813.333333333336</v>
      </c>
      <c r="I266" s="655">
        <f t="shared" si="21"/>
        <v>43577.777777777781</v>
      </c>
      <c r="J266" s="655">
        <f t="shared" si="22"/>
        <v>-5.7555555555555573</v>
      </c>
      <c r="K266" s="655">
        <f>SUM($J$2:J266)</f>
        <v>942.55555555555532</v>
      </c>
      <c r="L266" s="655">
        <f t="shared" si="23"/>
        <v>44520.333333333336</v>
      </c>
    </row>
    <row r="267" spans="6:12" x14ac:dyDescent="0.25">
      <c r="F267">
        <f t="shared" si="20"/>
        <v>22</v>
      </c>
      <c r="G267">
        <v>266</v>
      </c>
      <c r="H267" s="655">
        <f t="shared" si="24"/>
        <v>-13977.777777777781</v>
      </c>
      <c r="I267" s="655">
        <f t="shared" si="21"/>
        <v>43742.222222222226</v>
      </c>
      <c r="J267" s="655">
        <f t="shared" si="22"/>
        <v>-5.8240740740740762</v>
      </c>
      <c r="K267" s="655">
        <f>SUM($J$2:J267)</f>
        <v>936.7314814814813</v>
      </c>
      <c r="L267" s="655">
        <f t="shared" si="23"/>
        <v>44678.953703703708</v>
      </c>
    </row>
    <row r="268" spans="6:12" x14ac:dyDescent="0.25">
      <c r="F268">
        <f t="shared" si="20"/>
        <v>22</v>
      </c>
      <c r="G268">
        <v>267</v>
      </c>
      <c r="H268" s="655">
        <f t="shared" si="24"/>
        <v>-14142.222222222226</v>
      </c>
      <c r="I268" s="655">
        <f t="shared" si="21"/>
        <v>43906.666666666672</v>
      </c>
      <c r="J268" s="655">
        <f t="shared" si="22"/>
        <v>-5.892592592592595</v>
      </c>
      <c r="K268" s="655">
        <f>SUM($J$2:J268)</f>
        <v>930.83888888888873</v>
      </c>
      <c r="L268" s="655">
        <f t="shared" si="23"/>
        <v>44837.505555555559</v>
      </c>
    </row>
    <row r="269" spans="6:12" x14ac:dyDescent="0.25">
      <c r="F269">
        <f t="shared" si="20"/>
        <v>22</v>
      </c>
      <c r="G269">
        <v>268</v>
      </c>
      <c r="H269" s="655">
        <f t="shared" si="24"/>
        <v>-14306.666666666672</v>
      </c>
      <c r="I269" s="655">
        <f t="shared" si="21"/>
        <v>44071.111111111117</v>
      </c>
      <c r="J269" s="655">
        <f t="shared" si="22"/>
        <v>-5.9611111111111139</v>
      </c>
      <c r="K269" s="655">
        <f>SUM($J$2:J269)</f>
        <v>924.87777777777762</v>
      </c>
      <c r="L269" s="655">
        <f t="shared" si="23"/>
        <v>44995.988888888896</v>
      </c>
    </row>
    <row r="270" spans="6:12" x14ac:dyDescent="0.25">
      <c r="F270">
        <f t="shared" si="20"/>
        <v>22</v>
      </c>
      <c r="G270">
        <v>269</v>
      </c>
      <c r="H270" s="655">
        <f t="shared" si="24"/>
        <v>-14471.111111111117</v>
      </c>
      <c r="I270" s="655">
        <f t="shared" si="21"/>
        <v>44235.555555555562</v>
      </c>
      <c r="J270" s="655">
        <f t="shared" si="22"/>
        <v>-6.0296296296296328</v>
      </c>
      <c r="K270" s="655">
        <f>SUM($J$2:J270)</f>
        <v>918.84814814814797</v>
      </c>
      <c r="L270" s="655">
        <f t="shared" si="23"/>
        <v>45154.403703703712</v>
      </c>
    </row>
    <row r="271" spans="6:12" x14ac:dyDescent="0.25">
      <c r="F271">
        <f t="shared" si="20"/>
        <v>22</v>
      </c>
      <c r="G271">
        <v>270</v>
      </c>
      <c r="H271" s="655">
        <f t="shared" si="24"/>
        <v>-14635.555555555562</v>
      </c>
      <c r="I271" s="655">
        <f t="shared" si="21"/>
        <v>44400</v>
      </c>
      <c r="J271" s="655">
        <f t="shared" si="22"/>
        <v>-6.0981481481481516</v>
      </c>
      <c r="K271" s="655">
        <f>SUM($J$2:J271)</f>
        <v>912.74999999999977</v>
      </c>
      <c r="L271" s="655">
        <f t="shared" si="23"/>
        <v>45312.75</v>
      </c>
    </row>
    <row r="272" spans="6:12" x14ac:dyDescent="0.25">
      <c r="F272">
        <f t="shared" si="20"/>
        <v>22</v>
      </c>
      <c r="G272">
        <v>271</v>
      </c>
      <c r="H272" s="655">
        <f t="shared" si="24"/>
        <v>-14800</v>
      </c>
      <c r="I272" s="655">
        <f t="shared" si="21"/>
        <v>44564.444444444445</v>
      </c>
      <c r="J272" s="655">
        <f t="shared" si="22"/>
        <v>-6.166666666666667</v>
      </c>
      <c r="K272" s="655">
        <f>SUM($J$2:J272)</f>
        <v>906.58333333333314</v>
      </c>
      <c r="L272" s="655">
        <f t="shared" si="23"/>
        <v>45471.027777777781</v>
      </c>
    </row>
    <row r="273" spans="6:12" x14ac:dyDescent="0.25">
      <c r="F273">
        <f t="shared" si="20"/>
        <v>22</v>
      </c>
      <c r="G273">
        <v>272</v>
      </c>
      <c r="H273" s="655">
        <f t="shared" si="24"/>
        <v>-14964.444444444445</v>
      </c>
      <c r="I273" s="655">
        <f t="shared" si="21"/>
        <v>44728.888888888891</v>
      </c>
      <c r="J273" s="655">
        <f t="shared" si="22"/>
        <v>-6.2351851851851858</v>
      </c>
      <c r="K273" s="655">
        <f>SUM($J$2:J273)</f>
        <v>900.34814814814797</v>
      </c>
      <c r="L273" s="655">
        <f t="shared" si="23"/>
        <v>45629.237037037041</v>
      </c>
    </row>
    <row r="274" spans="6:12" x14ac:dyDescent="0.25">
      <c r="F274">
        <f t="shared" si="20"/>
        <v>22</v>
      </c>
      <c r="G274">
        <v>273</v>
      </c>
      <c r="H274" s="655">
        <f t="shared" si="24"/>
        <v>-15128.888888888891</v>
      </c>
      <c r="I274" s="655">
        <f t="shared" si="21"/>
        <v>44893.333333333336</v>
      </c>
      <c r="J274" s="655">
        <f t="shared" si="22"/>
        <v>-6.3037037037037047</v>
      </c>
      <c r="K274" s="655">
        <f>SUM($J$2:J274)</f>
        <v>894.04444444444425</v>
      </c>
      <c r="L274" s="655">
        <f t="shared" si="23"/>
        <v>45787.37777777778</v>
      </c>
    </row>
    <row r="275" spans="6:12" x14ac:dyDescent="0.25">
      <c r="F275">
        <f t="shared" si="20"/>
        <v>22</v>
      </c>
      <c r="G275">
        <v>274</v>
      </c>
      <c r="H275" s="655">
        <f t="shared" si="24"/>
        <v>-15293.333333333336</v>
      </c>
      <c r="I275" s="655">
        <f t="shared" si="21"/>
        <v>45057.777777777781</v>
      </c>
      <c r="J275" s="655">
        <f t="shared" si="22"/>
        <v>-6.3722222222222236</v>
      </c>
      <c r="K275" s="655">
        <f>SUM($J$2:J275)</f>
        <v>887.67222222222199</v>
      </c>
      <c r="L275" s="655">
        <f t="shared" si="23"/>
        <v>45945.450000000004</v>
      </c>
    </row>
    <row r="276" spans="6:12" x14ac:dyDescent="0.25">
      <c r="F276">
        <f t="shared" si="20"/>
        <v>22</v>
      </c>
      <c r="G276">
        <v>275</v>
      </c>
      <c r="H276" s="655">
        <f t="shared" si="24"/>
        <v>-15457.777777777781</v>
      </c>
      <c r="I276" s="655">
        <f t="shared" si="21"/>
        <v>45222.222222222226</v>
      </c>
      <c r="J276" s="655">
        <f t="shared" si="22"/>
        <v>-6.4407407407407424</v>
      </c>
      <c r="K276" s="655">
        <f>SUM($J$2:J276)</f>
        <v>881.2314814814813</v>
      </c>
      <c r="L276" s="655">
        <f t="shared" si="23"/>
        <v>46103.453703703708</v>
      </c>
    </row>
    <row r="277" spans="6:12" x14ac:dyDescent="0.25">
      <c r="F277">
        <f t="shared" si="20"/>
        <v>23</v>
      </c>
      <c r="G277">
        <v>276</v>
      </c>
      <c r="H277" s="655">
        <f t="shared" si="24"/>
        <v>-15622.222222222226</v>
      </c>
      <c r="I277" s="655">
        <f t="shared" si="21"/>
        <v>45386.666666666672</v>
      </c>
      <c r="J277" s="655">
        <f t="shared" si="22"/>
        <v>-6.5092592592592613</v>
      </c>
      <c r="K277" s="655">
        <f>SUM($J$2:J277)</f>
        <v>874.72222222222206</v>
      </c>
      <c r="L277" s="655">
        <f t="shared" si="23"/>
        <v>46261.388888888891</v>
      </c>
    </row>
    <row r="278" spans="6:12" x14ac:dyDescent="0.25">
      <c r="F278">
        <f t="shared" si="20"/>
        <v>23</v>
      </c>
      <c r="G278">
        <v>277</v>
      </c>
      <c r="H278" s="655">
        <f t="shared" si="24"/>
        <v>-15786.666666666672</v>
      </c>
      <c r="I278" s="655">
        <f t="shared" si="21"/>
        <v>45551.111111111117</v>
      </c>
      <c r="J278" s="655">
        <f t="shared" si="22"/>
        <v>-6.5777777777777802</v>
      </c>
      <c r="K278" s="655">
        <f>SUM($J$2:J278)</f>
        <v>868.14444444444428</v>
      </c>
      <c r="L278" s="655">
        <f t="shared" si="23"/>
        <v>46419.255555555559</v>
      </c>
    </row>
    <row r="279" spans="6:12" x14ac:dyDescent="0.25">
      <c r="F279">
        <f t="shared" si="20"/>
        <v>23</v>
      </c>
      <c r="G279">
        <v>278</v>
      </c>
      <c r="H279" s="655">
        <f t="shared" si="24"/>
        <v>-15951.111111111117</v>
      </c>
      <c r="I279" s="655">
        <f t="shared" si="21"/>
        <v>45715.555555555562</v>
      </c>
      <c r="J279" s="655">
        <f t="shared" si="22"/>
        <v>-6.646296296296299</v>
      </c>
      <c r="K279" s="655">
        <f>SUM($J$2:J279)</f>
        <v>861.49814814814795</v>
      </c>
      <c r="L279" s="655">
        <f t="shared" si="23"/>
        <v>46577.053703703707</v>
      </c>
    </row>
    <row r="280" spans="6:12" x14ac:dyDescent="0.25">
      <c r="F280">
        <f t="shared" si="20"/>
        <v>23</v>
      </c>
      <c r="G280">
        <v>279</v>
      </c>
      <c r="H280" s="655">
        <f t="shared" si="24"/>
        <v>-16115.555555555562</v>
      </c>
      <c r="I280" s="655">
        <f t="shared" si="21"/>
        <v>45880</v>
      </c>
      <c r="J280" s="655">
        <f t="shared" si="22"/>
        <v>-6.7148148148148179</v>
      </c>
      <c r="K280" s="655">
        <f>SUM($J$2:J280)</f>
        <v>854.78333333333308</v>
      </c>
      <c r="L280" s="655">
        <f t="shared" si="23"/>
        <v>46734.783333333333</v>
      </c>
    </row>
    <row r="281" spans="6:12" x14ac:dyDescent="0.25">
      <c r="F281">
        <f t="shared" si="20"/>
        <v>23</v>
      </c>
      <c r="G281">
        <v>280</v>
      </c>
      <c r="H281" s="655">
        <f t="shared" si="24"/>
        <v>-16280</v>
      </c>
      <c r="I281" s="655">
        <f t="shared" si="21"/>
        <v>46044.444444444445</v>
      </c>
      <c r="J281" s="655">
        <f t="shared" si="22"/>
        <v>-6.7833333333333341</v>
      </c>
      <c r="K281" s="655">
        <f>SUM($J$2:J281)</f>
        <v>847.99999999999977</v>
      </c>
      <c r="L281" s="655">
        <f t="shared" si="23"/>
        <v>46892.444444444445</v>
      </c>
    </row>
    <row r="282" spans="6:12" x14ac:dyDescent="0.25">
      <c r="F282">
        <f t="shared" si="20"/>
        <v>23</v>
      </c>
      <c r="G282">
        <v>281</v>
      </c>
      <c r="H282" s="655">
        <f t="shared" si="24"/>
        <v>-16444.444444444445</v>
      </c>
      <c r="I282" s="655">
        <f t="shared" si="21"/>
        <v>46208.888888888891</v>
      </c>
      <c r="J282" s="655">
        <f t="shared" si="22"/>
        <v>-6.851851851851853</v>
      </c>
      <c r="K282" s="655">
        <f>SUM($J$2:J282)</f>
        <v>841.14814814814792</v>
      </c>
      <c r="L282" s="655">
        <f t="shared" si="23"/>
        <v>47050.037037037036</v>
      </c>
    </row>
    <row r="283" spans="6:12" x14ac:dyDescent="0.25">
      <c r="F283">
        <f t="shared" si="20"/>
        <v>23</v>
      </c>
      <c r="G283">
        <v>282</v>
      </c>
      <c r="H283" s="655">
        <f t="shared" si="24"/>
        <v>-16608.888888888891</v>
      </c>
      <c r="I283" s="655">
        <f t="shared" si="21"/>
        <v>46373.333333333336</v>
      </c>
      <c r="J283" s="655">
        <f t="shared" si="22"/>
        <v>-6.9203703703703718</v>
      </c>
      <c r="K283" s="655">
        <f>SUM($J$2:J283)</f>
        <v>834.22777777777753</v>
      </c>
      <c r="L283" s="655">
        <f t="shared" si="23"/>
        <v>47207.561111111114</v>
      </c>
    </row>
    <row r="284" spans="6:12" x14ac:dyDescent="0.25">
      <c r="F284">
        <f t="shared" si="20"/>
        <v>23</v>
      </c>
      <c r="G284">
        <v>283</v>
      </c>
      <c r="H284" s="655">
        <f t="shared" si="24"/>
        <v>-16773.333333333336</v>
      </c>
      <c r="I284" s="655">
        <f t="shared" si="21"/>
        <v>46537.777777777781</v>
      </c>
      <c r="J284" s="655">
        <f t="shared" si="22"/>
        <v>-6.9888888888888907</v>
      </c>
      <c r="K284" s="655">
        <f>SUM($J$2:J284)</f>
        <v>827.2388888888886</v>
      </c>
      <c r="L284" s="655">
        <f t="shared" si="23"/>
        <v>47365.01666666667</v>
      </c>
    </row>
    <row r="285" spans="6:12" x14ac:dyDescent="0.25">
      <c r="F285">
        <f t="shared" si="20"/>
        <v>23</v>
      </c>
      <c r="G285">
        <v>284</v>
      </c>
      <c r="H285" s="655">
        <f t="shared" si="24"/>
        <v>-16937.777777777781</v>
      </c>
      <c r="I285" s="655">
        <f t="shared" si="21"/>
        <v>46702.222222222226</v>
      </c>
      <c r="J285" s="655">
        <f t="shared" si="22"/>
        <v>-7.0574074074074096</v>
      </c>
      <c r="K285" s="655">
        <f>SUM($J$2:J285)</f>
        <v>820.18148148148123</v>
      </c>
      <c r="L285" s="655">
        <f t="shared" si="23"/>
        <v>47522.403703703705</v>
      </c>
    </row>
    <row r="286" spans="6:12" x14ac:dyDescent="0.25">
      <c r="F286">
        <f t="shared" si="20"/>
        <v>23</v>
      </c>
      <c r="G286">
        <v>285</v>
      </c>
      <c r="H286" s="655">
        <f t="shared" si="24"/>
        <v>-17102.222222222226</v>
      </c>
      <c r="I286" s="655">
        <f t="shared" si="21"/>
        <v>46866.666666666672</v>
      </c>
      <c r="J286" s="655">
        <f t="shared" si="22"/>
        <v>-7.1259259259259284</v>
      </c>
      <c r="K286" s="655">
        <f>SUM($J$2:J286)</f>
        <v>813.05555555555532</v>
      </c>
      <c r="L286" s="655">
        <f t="shared" si="23"/>
        <v>47679.722222222226</v>
      </c>
    </row>
    <row r="287" spans="6:12" x14ac:dyDescent="0.25">
      <c r="F287">
        <f t="shared" si="20"/>
        <v>23</v>
      </c>
      <c r="G287">
        <v>286</v>
      </c>
      <c r="H287" s="655">
        <f t="shared" si="24"/>
        <v>-17266.666666666672</v>
      </c>
      <c r="I287" s="655">
        <f t="shared" si="21"/>
        <v>47031.111111111117</v>
      </c>
      <c r="J287" s="655">
        <f t="shared" si="22"/>
        <v>-7.1944444444444473</v>
      </c>
      <c r="K287" s="655">
        <f>SUM($J$2:J287)</f>
        <v>805.86111111111086</v>
      </c>
      <c r="L287" s="655">
        <f t="shared" si="23"/>
        <v>47836.972222222226</v>
      </c>
    </row>
    <row r="288" spans="6:12" x14ac:dyDescent="0.25">
      <c r="F288">
        <f t="shared" si="20"/>
        <v>23</v>
      </c>
      <c r="G288">
        <v>287</v>
      </c>
      <c r="H288" s="655">
        <f t="shared" si="24"/>
        <v>-17431.111111111117</v>
      </c>
      <c r="I288" s="655">
        <f t="shared" si="21"/>
        <v>47195.555555555562</v>
      </c>
      <c r="J288" s="655">
        <f t="shared" si="22"/>
        <v>-7.2629629629629662</v>
      </c>
      <c r="K288" s="655">
        <f>SUM($J$2:J288)</f>
        <v>798.59814814814786</v>
      </c>
      <c r="L288" s="655">
        <f t="shared" si="23"/>
        <v>47994.153703703712</v>
      </c>
    </row>
    <row r="289" spans="6:12" x14ac:dyDescent="0.25">
      <c r="F289">
        <f t="shared" si="20"/>
        <v>24</v>
      </c>
      <c r="G289">
        <v>288</v>
      </c>
      <c r="H289" s="655">
        <f t="shared" si="24"/>
        <v>-17595.555555555562</v>
      </c>
      <c r="I289" s="655">
        <f t="shared" si="21"/>
        <v>47360</v>
      </c>
      <c r="J289" s="655">
        <f t="shared" si="22"/>
        <v>-7.331481481481485</v>
      </c>
      <c r="K289" s="655">
        <f>SUM($J$2:J289)</f>
        <v>791.26666666666642</v>
      </c>
      <c r="L289" s="655">
        <f t="shared" si="23"/>
        <v>48151.266666666663</v>
      </c>
    </row>
    <row r="290" spans="6:12" x14ac:dyDescent="0.25">
      <c r="F290">
        <f t="shared" si="20"/>
        <v>24</v>
      </c>
      <c r="G290">
        <v>289</v>
      </c>
      <c r="H290" s="655">
        <f t="shared" si="24"/>
        <v>-17760</v>
      </c>
      <c r="I290" s="655">
        <f t="shared" si="21"/>
        <v>47524.444444444445</v>
      </c>
      <c r="J290" s="655">
        <f t="shared" si="22"/>
        <v>-7.4</v>
      </c>
      <c r="K290" s="655">
        <f>SUM($J$2:J290)</f>
        <v>783.86666666666645</v>
      </c>
      <c r="L290" s="655">
        <f t="shared" si="23"/>
        <v>48308.311111111114</v>
      </c>
    </row>
    <row r="291" spans="6:12" x14ac:dyDescent="0.25">
      <c r="F291">
        <f t="shared" si="20"/>
        <v>24</v>
      </c>
      <c r="G291">
        <v>290</v>
      </c>
      <c r="H291" s="655">
        <f t="shared" si="24"/>
        <v>-17924.444444444445</v>
      </c>
      <c r="I291" s="655">
        <f t="shared" si="21"/>
        <v>47688.888888888891</v>
      </c>
      <c r="J291" s="655">
        <f t="shared" si="22"/>
        <v>-7.4685185185185192</v>
      </c>
      <c r="K291" s="655">
        <f>SUM($J$2:J291)</f>
        <v>776.39814814814792</v>
      </c>
      <c r="L291" s="655">
        <f t="shared" si="23"/>
        <v>48465.287037037036</v>
      </c>
    </row>
    <row r="292" spans="6:12" x14ac:dyDescent="0.25">
      <c r="F292">
        <f t="shared" si="20"/>
        <v>24</v>
      </c>
      <c r="G292">
        <v>291</v>
      </c>
      <c r="H292" s="655">
        <f t="shared" si="24"/>
        <v>-18088.888888888891</v>
      </c>
      <c r="I292" s="655">
        <f t="shared" si="21"/>
        <v>47853.333333333336</v>
      </c>
      <c r="J292" s="655">
        <f t="shared" si="22"/>
        <v>-7.5370370370370381</v>
      </c>
      <c r="K292" s="655">
        <f>SUM($J$2:J292)</f>
        <v>768.86111111111086</v>
      </c>
      <c r="L292" s="655">
        <f t="shared" si="23"/>
        <v>48622.194444444445</v>
      </c>
    </row>
    <row r="293" spans="6:12" x14ac:dyDescent="0.25">
      <c r="F293">
        <f t="shared" si="20"/>
        <v>24</v>
      </c>
      <c r="G293">
        <v>292</v>
      </c>
      <c r="H293" s="655">
        <f t="shared" si="24"/>
        <v>-18253.333333333336</v>
      </c>
      <c r="I293" s="655">
        <f t="shared" si="21"/>
        <v>48017.777777777781</v>
      </c>
      <c r="J293" s="655">
        <f t="shared" si="22"/>
        <v>-7.605555555555557</v>
      </c>
      <c r="K293" s="655">
        <f>SUM($J$2:J293)</f>
        <v>761.25555555555525</v>
      </c>
      <c r="L293" s="655">
        <f t="shared" si="23"/>
        <v>48779.033333333333</v>
      </c>
    </row>
    <row r="294" spans="6:12" x14ac:dyDescent="0.25">
      <c r="F294">
        <f t="shared" si="20"/>
        <v>24</v>
      </c>
      <c r="G294">
        <v>293</v>
      </c>
      <c r="H294" s="655">
        <f t="shared" si="24"/>
        <v>-18417.777777777781</v>
      </c>
      <c r="I294" s="655">
        <f t="shared" si="21"/>
        <v>48182.222222222226</v>
      </c>
      <c r="J294" s="655">
        <f t="shared" si="22"/>
        <v>-7.6740740740740758</v>
      </c>
      <c r="K294" s="655">
        <f>SUM($J$2:J294)</f>
        <v>753.58148148148121</v>
      </c>
      <c r="L294" s="655">
        <f t="shared" si="23"/>
        <v>48935.803703703707</v>
      </c>
    </row>
    <row r="295" spans="6:12" x14ac:dyDescent="0.25">
      <c r="F295">
        <f t="shared" si="20"/>
        <v>24</v>
      </c>
      <c r="G295">
        <v>294</v>
      </c>
      <c r="H295" s="655">
        <f t="shared" si="24"/>
        <v>-18582.222222222226</v>
      </c>
      <c r="I295" s="655">
        <f t="shared" si="21"/>
        <v>48346.666666666672</v>
      </c>
      <c r="J295" s="655">
        <f t="shared" si="22"/>
        <v>-7.7425925925925947</v>
      </c>
      <c r="K295" s="655">
        <f>SUM($J$2:J295)</f>
        <v>745.83888888888862</v>
      </c>
      <c r="L295" s="655">
        <f t="shared" si="23"/>
        <v>49092.505555555559</v>
      </c>
    </row>
    <row r="296" spans="6:12" x14ac:dyDescent="0.25">
      <c r="F296">
        <f t="shared" si="20"/>
        <v>24</v>
      </c>
      <c r="G296">
        <v>295</v>
      </c>
      <c r="H296" s="655">
        <f t="shared" si="24"/>
        <v>-18746.666666666672</v>
      </c>
      <c r="I296" s="655">
        <f t="shared" si="21"/>
        <v>48511.111111111117</v>
      </c>
      <c r="J296" s="655">
        <f t="shared" si="22"/>
        <v>-7.8111111111111136</v>
      </c>
      <c r="K296" s="655">
        <f>SUM($J$2:J296)</f>
        <v>738.02777777777749</v>
      </c>
      <c r="L296" s="655">
        <f t="shared" si="23"/>
        <v>49249.138888888898</v>
      </c>
    </row>
    <row r="297" spans="6:12" x14ac:dyDescent="0.25">
      <c r="F297">
        <f t="shared" si="20"/>
        <v>24</v>
      </c>
      <c r="G297">
        <v>296</v>
      </c>
      <c r="H297" s="655">
        <f t="shared" si="24"/>
        <v>-18911.111111111117</v>
      </c>
      <c r="I297" s="655">
        <f t="shared" si="21"/>
        <v>48675.555555555562</v>
      </c>
      <c r="J297" s="655">
        <f t="shared" si="22"/>
        <v>-7.8796296296296324</v>
      </c>
      <c r="K297" s="655">
        <f>SUM($J$2:J297)</f>
        <v>730.14814814814781</v>
      </c>
      <c r="L297" s="655">
        <f t="shared" si="23"/>
        <v>49405.703703703708</v>
      </c>
    </row>
    <row r="298" spans="6:12" x14ac:dyDescent="0.25">
      <c r="F298">
        <f t="shared" si="20"/>
        <v>24</v>
      </c>
      <c r="G298">
        <v>297</v>
      </c>
      <c r="H298" s="655">
        <f t="shared" si="24"/>
        <v>-19075.555555555562</v>
      </c>
      <c r="I298" s="655">
        <f t="shared" si="21"/>
        <v>48840.000000000007</v>
      </c>
      <c r="J298" s="655">
        <f t="shared" si="22"/>
        <v>-7.9481481481481513</v>
      </c>
      <c r="K298" s="655">
        <f>SUM($J$2:J298)</f>
        <v>722.1999999999997</v>
      </c>
      <c r="L298" s="655">
        <f t="shared" si="23"/>
        <v>49562.200000000004</v>
      </c>
    </row>
    <row r="299" spans="6:12" x14ac:dyDescent="0.25">
      <c r="F299">
        <f t="shared" si="20"/>
        <v>24</v>
      </c>
      <c r="G299">
        <v>298</v>
      </c>
      <c r="H299" s="655">
        <f t="shared" si="24"/>
        <v>-19240.000000000007</v>
      </c>
      <c r="I299" s="655">
        <f t="shared" si="21"/>
        <v>49004.444444444445</v>
      </c>
      <c r="J299" s="655">
        <f t="shared" si="22"/>
        <v>-8.016666666666671</v>
      </c>
      <c r="K299" s="655">
        <f>SUM($J$2:J299)</f>
        <v>714.18333333333305</v>
      </c>
      <c r="L299" s="655">
        <f t="shared" si="23"/>
        <v>49718.62777777778</v>
      </c>
    </row>
    <row r="300" spans="6:12" x14ac:dyDescent="0.25">
      <c r="F300">
        <f t="shared" si="20"/>
        <v>24</v>
      </c>
      <c r="G300">
        <v>299</v>
      </c>
      <c r="H300" s="655">
        <f t="shared" si="24"/>
        <v>-19404.444444444445</v>
      </c>
      <c r="I300" s="655">
        <f t="shared" si="21"/>
        <v>49168.888888888891</v>
      </c>
      <c r="J300" s="655">
        <f t="shared" si="22"/>
        <v>-8.0851851851851855</v>
      </c>
      <c r="K300" s="655">
        <f>SUM($J$2:J300)</f>
        <v>706.09814814814786</v>
      </c>
      <c r="L300" s="655">
        <f t="shared" si="23"/>
        <v>49874.987037037041</v>
      </c>
    </row>
    <row r="301" spans="6:12" x14ac:dyDescent="0.25">
      <c r="F301">
        <f t="shared" si="20"/>
        <v>25</v>
      </c>
      <c r="G301">
        <v>300</v>
      </c>
      <c r="H301" s="655">
        <f t="shared" si="24"/>
        <v>-19568.888888888891</v>
      </c>
      <c r="I301" s="655">
        <f t="shared" si="21"/>
        <v>49333.333333333336</v>
      </c>
      <c r="J301" s="655">
        <f t="shared" si="22"/>
        <v>-8.1537037037037052</v>
      </c>
      <c r="K301" s="655">
        <f>SUM($J$2:J301)</f>
        <v>697.94444444444412</v>
      </c>
      <c r="L301" s="655">
        <f t="shared" si="23"/>
        <v>50031.277777777781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B1625-B224-403B-BEB2-7787FB73B8E6}">
  <dimension ref="C1:L301"/>
  <sheetViews>
    <sheetView workbookViewId="0">
      <selection activeCell="E19" sqref="E19"/>
    </sheetView>
  </sheetViews>
  <sheetFormatPr baseColWidth="10" defaultRowHeight="15" x14ac:dyDescent="0.25"/>
  <cols>
    <col min="3" max="3" width="17.140625" bestFit="1" customWidth="1"/>
    <col min="8" max="8" width="15.42578125" bestFit="1" customWidth="1"/>
    <col min="9" max="9" width="16.140625" bestFit="1" customWidth="1"/>
    <col min="10" max="10" width="11" bestFit="1" customWidth="1"/>
    <col min="11" max="11" width="11.85546875" bestFit="1" customWidth="1"/>
    <col min="12" max="12" width="18.140625" bestFit="1" customWidth="1"/>
  </cols>
  <sheetData>
    <row r="1" spans="3:12" x14ac:dyDescent="0.25">
      <c r="F1" s="1" t="s">
        <v>653</v>
      </c>
      <c r="G1" s="1" t="s">
        <v>652</v>
      </c>
      <c r="H1" s="1" t="s">
        <v>646</v>
      </c>
      <c r="I1" s="1" t="s">
        <v>647</v>
      </c>
      <c r="J1" s="1" t="s">
        <v>643</v>
      </c>
      <c r="K1" s="1" t="s">
        <v>650</v>
      </c>
      <c r="L1" s="1" t="s">
        <v>651</v>
      </c>
    </row>
    <row r="2" spans="3:12" x14ac:dyDescent="0.25">
      <c r="F2">
        <f>QUOTIENT(G2,12)</f>
        <v>0</v>
      </c>
      <c r="G2">
        <v>1</v>
      </c>
      <c r="H2" s="655">
        <v>200000</v>
      </c>
      <c r="I2" s="655">
        <f>G2*$D$9</f>
        <v>52.5</v>
      </c>
      <c r="J2" s="655">
        <f>H2*$D$11</f>
        <v>366.66666666666669</v>
      </c>
      <c r="K2" s="655">
        <f>SUM($J$2:J2)</f>
        <v>366.66666666666669</v>
      </c>
      <c r="L2" s="655">
        <f>I2+K2</f>
        <v>419.16666666666669</v>
      </c>
    </row>
    <row r="3" spans="3:12" x14ac:dyDescent="0.25">
      <c r="F3">
        <f t="shared" ref="F3:F66" si="0">QUOTIENT(G3,12)</f>
        <v>0</v>
      </c>
      <c r="G3">
        <v>2</v>
      </c>
      <c r="H3" s="655">
        <f>$D$6-I2</f>
        <v>6247.5</v>
      </c>
      <c r="I3" s="655">
        <f t="shared" ref="I3:I66" si="1">G3*$D$9</f>
        <v>105</v>
      </c>
      <c r="J3" s="655">
        <f t="shared" ref="J3:J66" si="2">H3*$D$11</f>
        <v>11.453749999999999</v>
      </c>
      <c r="K3" s="655">
        <f>SUM($J$2:J3)</f>
        <v>378.1204166666667</v>
      </c>
      <c r="L3" s="655">
        <f t="shared" ref="L3:L66" si="3">I3+K3</f>
        <v>483.1204166666667</v>
      </c>
    </row>
    <row r="4" spans="3:12" x14ac:dyDescent="0.25">
      <c r="F4">
        <f t="shared" si="0"/>
        <v>0</v>
      </c>
      <c r="G4">
        <v>3</v>
      </c>
      <c r="H4" s="655">
        <f t="shared" ref="H4:H67" si="4">$D$6-I3</f>
        <v>6195</v>
      </c>
      <c r="I4" s="655">
        <f t="shared" si="1"/>
        <v>157.5</v>
      </c>
      <c r="J4" s="655">
        <f t="shared" si="2"/>
        <v>11.3575</v>
      </c>
      <c r="K4" s="655">
        <f>SUM($J$2:J4)</f>
        <v>389.47791666666672</v>
      </c>
      <c r="L4" s="655">
        <f t="shared" si="3"/>
        <v>546.97791666666672</v>
      </c>
    </row>
    <row r="5" spans="3:12" x14ac:dyDescent="0.25">
      <c r="F5">
        <f t="shared" si="0"/>
        <v>0</v>
      </c>
      <c r="G5">
        <v>4</v>
      </c>
      <c r="H5" s="655">
        <f t="shared" si="4"/>
        <v>6142.5</v>
      </c>
      <c r="I5" s="655">
        <f t="shared" si="1"/>
        <v>210</v>
      </c>
      <c r="J5" s="655">
        <f t="shared" si="2"/>
        <v>11.26125</v>
      </c>
      <c r="K5" s="655">
        <f>SUM($J$2:J5)</f>
        <v>400.73916666666673</v>
      </c>
      <c r="L5" s="655">
        <f t="shared" si="3"/>
        <v>610.73916666666673</v>
      </c>
    </row>
    <row r="6" spans="3:12" x14ac:dyDescent="0.25">
      <c r="C6" s="619" t="s">
        <v>640</v>
      </c>
      <c r="D6" s="619">
        <f>'💰 Financement 1'!F53</f>
        <v>6300</v>
      </c>
      <c r="F6">
        <f t="shared" si="0"/>
        <v>0</v>
      </c>
      <c r="G6">
        <v>5</v>
      </c>
      <c r="H6" s="655">
        <f t="shared" si="4"/>
        <v>6090</v>
      </c>
      <c r="I6" s="655">
        <f t="shared" si="1"/>
        <v>262.5</v>
      </c>
      <c r="J6" s="655">
        <f t="shared" si="2"/>
        <v>11.164999999999999</v>
      </c>
      <c r="K6" s="655">
        <f>SUM($J$2:J6)</f>
        <v>411.90416666666675</v>
      </c>
      <c r="L6" s="655">
        <f t="shared" si="3"/>
        <v>674.4041666666667</v>
      </c>
    </row>
    <row r="7" spans="3:12" x14ac:dyDescent="0.25">
      <c r="C7" s="619" t="s">
        <v>641</v>
      </c>
      <c r="D7" s="619">
        <f>'💰 Financement 1'!J53</f>
        <v>10</v>
      </c>
      <c r="F7">
        <f t="shared" si="0"/>
        <v>0</v>
      </c>
      <c r="G7">
        <v>6</v>
      </c>
      <c r="H7" s="655">
        <f t="shared" si="4"/>
        <v>6037.5</v>
      </c>
      <c r="I7" s="655">
        <f t="shared" si="1"/>
        <v>315</v>
      </c>
      <c r="J7" s="655">
        <f t="shared" si="2"/>
        <v>11.06875</v>
      </c>
      <c r="K7" s="655">
        <f>SUM($J$2:J7)</f>
        <v>422.97291666666678</v>
      </c>
      <c r="L7" s="655">
        <f t="shared" si="3"/>
        <v>737.97291666666683</v>
      </c>
    </row>
    <row r="8" spans="3:12" x14ac:dyDescent="0.25">
      <c r="C8" s="619" t="s">
        <v>642</v>
      </c>
      <c r="D8" s="619">
        <f>D7*12</f>
        <v>120</v>
      </c>
      <c r="F8">
        <f t="shared" si="0"/>
        <v>0</v>
      </c>
      <c r="G8">
        <v>7</v>
      </c>
      <c r="H8" s="655">
        <f t="shared" si="4"/>
        <v>5985</v>
      </c>
      <c r="I8" s="655">
        <f t="shared" si="1"/>
        <v>367.5</v>
      </c>
      <c r="J8" s="655">
        <f t="shared" si="2"/>
        <v>10.9725</v>
      </c>
      <c r="K8" s="655">
        <f>SUM($J$2:J8)</f>
        <v>433.9454166666668</v>
      </c>
      <c r="L8" s="655">
        <f t="shared" si="3"/>
        <v>801.4454166666668</v>
      </c>
    </row>
    <row r="9" spans="3:12" x14ac:dyDescent="0.25">
      <c r="C9" s="619" t="s">
        <v>645</v>
      </c>
      <c r="D9" s="619">
        <f>D6/D8</f>
        <v>52.5</v>
      </c>
      <c r="F9">
        <f t="shared" si="0"/>
        <v>0</v>
      </c>
      <c r="G9">
        <v>8</v>
      </c>
      <c r="H9" s="655">
        <f t="shared" si="4"/>
        <v>5932.5</v>
      </c>
      <c r="I9" s="655">
        <f t="shared" si="1"/>
        <v>420</v>
      </c>
      <c r="J9" s="655">
        <f t="shared" si="2"/>
        <v>10.876250000000001</v>
      </c>
      <c r="K9" s="655">
        <f>SUM($J$2:J9)</f>
        <v>444.82166666666683</v>
      </c>
      <c r="L9" s="655">
        <f t="shared" si="3"/>
        <v>864.82166666666683</v>
      </c>
    </row>
    <row r="10" spans="3:12" x14ac:dyDescent="0.25">
      <c r="C10" s="619" t="s">
        <v>649</v>
      </c>
      <c r="D10" s="664">
        <f>'💰 Financement 1'!F57</f>
        <v>2.1999999999999999E-2</v>
      </c>
      <c r="F10">
        <f t="shared" si="0"/>
        <v>0</v>
      </c>
      <c r="G10">
        <v>9</v>
      </c>
      <c r="H10" s="655">
        <f t="shared" si="4"/>
        <v>5880</v>
      </c>
      <c r="I10" s="655">
        <f t="shared" si="1"/>
        <v>472.5</v>
      </c>
      <c r="J10" s="655">
        <f t="shared" si="2"/>
        <v>10.78</v>
      </c>
      <c r="K10" s="655">
        <f>SUM($J$2:J10)</f>
        <v>455.6016666666668</v>
      </c>
      <c r="L10" s="655">
        <f t="shared" si="3"/>
        <v>928.1016666666668</v>
      </c>
    </row>
    <row r="11" spans="3:12" x14ac:dyDescent="0.25">
      <c r="C11" s="619" t="s">
        <v>648</v>
      </c>
      <c r="D11" s="619">
        <f>D10/12</f>
        <v>1.8333333333333333E-3</v>
      </c>
      <c r="F11">
        <f t="shared" si="0"/>
        <v>0</v>
      </c>
      <c r="G11">
        <v>10</v>
      </c>
      <c r="H11" s="655">
        <f t="shared" si="4"/>
        <v>5827.5</v>
      </c>
      <c r="I11" s="655">
        <f t="shared" si="1"/>
        <v>525</v>
      </c>
      <c r="J11" s="655">
        <f t="shared" si="2"/>
        <v>10.68375</v>
      </c>
      <c r="K11" s="655">
        <f>SUM($J$2:J11)</f>
        <v>466.28541666666678</v>
      </c>
      <c r="L11" s="655">
        <f t="shared" si="3"/>
        <v>991.28541666666683</v>
      </c>
    </row>
    <row r="12" spans="3:12" x14ac:dyDescent="0.25">
      <c r="C12" s="619" t="s">
        <v>644</v>
      </c>
      <c r="D12" s="619">
        <f>VLOOKUP(D8,G2:L301,5,FALSE)</f>
        <v>1053.8916666666669</v>
      </c>
      <c r="F12">
        <f t="shared" si="0"/>
        <v>0</v>
      </c>
      <c r="G12">
        <v>11</v>
      </c>
      <c r="H12" s="655">
        <f t="shared" si="4"/>
        <v>5775</v>
      </c>
      <c r="I12" s="655">
        <f t="shared" si="1"/>
        <v>577.5</v>
      </c>
      <c r="J12" s="655">
        <f t="shared" si="2"/>
        <v>10.5875</v>
      </c>
      <c r="K12" s="655">
        <f>SUM($J$2:J12)</f>
        <v>476.87291666666675</v>
      </c>
      <c r="L12" s="655">
        <f t="shared" si="3"/>
        <v>1054.3729166666667</v>
      </c>
    </row>
    <row r="13" spans="3:12" x14ac:dyDescent="0.25">
      <c r="F13">
        <f t="shared" si="0"/>
        <v>1</v>
      </c>
      <c r="G13">
        <v>12</v>
      </c>
      <c r="H13" s="655">
        <f t="shared" si="4"/>
        <v>5722.5</v>
      </c>
      <c r="I13" s="655">
        <f t="shared" si="1"/>
        <v>630</v>
      </c>
      <c r="J13" s="655">
        <f t="shared" si="2"/>
        <v>10.491249999999999</v>
      </c>
      <c r="K13" s="655">
        <f>SUM($J$2:J13)</f>
        <v>487.36416666666673</v>
      </c>
      <c r="L13" s="655">
        <f t="shared" si="3"/>
        <v>1117.3641666666667</v>
      </c>
    </row>
    <row r="14" spans="3:12" x14ac:dyDescent="0.25">
      <c r="F14">
        <f t="shared" si="0"/>
        <v>1</v>
      </c>
      <c r="G14">
        <v>13</v>
      </c>
      <c r="H14" s="655">
        <f t="shared" si="4"/>
        <v>5670</v>
      </c>
      <c r="I14" s="655">
        <f t="shared" si="1"/>
        <v>682.5</v>
      </c>
      <c r="J14" s="655">
        <f t="shared" si="2"/>
        <v>10.395</v>
      </c>
      <c r="K14" s="655">
        <f>SUM($J$2:J14)</f>
        <v>497.75916666666672</v>
      </c>
      <c r="L14" s="655">
        <f t="shared" si="3"/>
        <v>1180.2591666666667</v>
      </c>
    </row>
    <row r="15" spans="3:12" x14ac:dyDescent="0.25">
      <c r="F15">
        <f t="shared" si="0"/>
        <v>1</v>
      </c>
      <c r="G15">
        <v>14</v>
      </c>
      <c r="H15" s="655">
        <f t="shared" si="4"/>
        <v>5617.5</v>
      </c>
      <c r="I15" s="655">
        <f t="shared" si="1"/>
        <v>735</v>
      </c>
      <c r="J15" s="655">
        <f t="shared" si="2"/>
        <v>10.29875</v>
      </c>
      <c r="K15" s="655">
        <f>SUM($J$2:J15)</f>
        <v>508.0579166666667</v>
      </c>
      <c r="L15" s="655">
        <f t="shared" si="3"/>
        <v>1243.0579166666666</v>
      </c>
    </row>
    <row r="16" spans="3:12" x14ac:dyDescent="0.25">
      <c r="F16">
        <f t="shared" si="0"/>
        <v>1</v>
      </c>
      <c r="G16">
        <v>15</v>
      </c>
      <c r="H16" s="655">
        <f t="shared" si="4"/>
        <v>5565</v>
      </c>
      <c r="I16" s="655">
        <f t="shared" si="1"/>
        <v>787.5</v>
      </c>
      <c r="J16" s="655">
        <f t="shared" si="2"/>
        <v>10.202500000000001</v>
      </c>
      <c r="K16" s="655">
        <f>SUM($J$2:J16)</f>
        <v>518.26041666666674</v>
      </c>
      <c r="L16" s="655">
        <f t="shared" si="3"/>
        <v>1305.7604166666667</v>
      </c>
    </row>
    <row r="17" spans="6:12" x14ac:dyDescent="0.25">
      <c r="F17">
        <f t="shared" si="0"/>
        <v>1</v>
      </c>
      <c r="G17">
        <v>16</v>
      </c>
      <c r="H17" s="655">
        <f t="shared" si="4"/>
        <v>5512.5</v>
      </c>
      <c r="I17" s="655">
        <f t="shared" si="1"/>
        <v>840</v>
      </c>
      <c r="J17" s="655">
        <f t="shared" si="2"/>
        <v>10.106249999999999</v>
      </c>
      <c r="K17" s="655">
        <f>SUM($J$2:J17)</f>
        <v>528.36666666666679</v>
      </c>
      <c r="L17" s="655">
        <f t="shared" si="3"/>
        <v>1368.3666666666668</v>
      </c>
    </row>
    <row r="18" spans="6:12" x14ac:dyDescent="0.25">
      <c r="F18">
        <f t="shared" si="0"/>
        <v>1</v>
      </c>
      <c r="G18">
        <v>17</v>
      </c>
      <c r="H18" s="655">
        <f t="shared" si="4"/>
        <v>5460</v>
      </c>
      <c r="I18" s="655">
        <f t="shared" si="1"/>
        <v>892.5</v>
      </c>
      <c r="J18" s="655">
        <f t="shared" si="2"/>
        <v>10.01</v>
      </c>
      <c r="K18" s="655">
        <f>SUM($J$2:J18)</f>
        <v>538.37666666666678</v>
      </c>
      <c r="L18" s="655">
        <f t="shared" si="3"/>
        <v>1430.8766666666668</v>
      </c>
    </row>
    <row r="19" spans="6:12" x14ac:dyDescent="0.25">
      <c r="F19">
        <f t="shared" si="0"/>
        <v>1</v>
      </c>
      <c r="G19">
        <v>18</v>
      </c>
      <c r="H19" s="655">
        <f t="shared" si="4"/>
        <v>5407.5</v>
      </c>
      <c r="I19" s="655">
        <f t="shared" si="1"/>
        <v>945</v>
      </c>
      <c r="J19" s="655">
        <f t="shared" si="2"/>
        <v>9.9137500000000003</v>
      </c>
      <c r="K19" s="655">
        <f>SUM($J$2:J19)</f>
        <v>548.29041666666683</v>
      </c>
      <c r="L19" s="655">
        <f t="shared" si="3"/>
        <v>1493.2904166666667</v>
      </c>
    </row>
    <row r="20" spans="6:12" x14ac:dyDescent="0.25">
      <c r="F20">
        <f t="shared" si="0"/>
        <v>1</v>
      </c>
      <c r="G20">
        <v>19</v>
      </c>
      <c r="H20" s="655">
        <f t="shared" si="4"/>
        <v>5355</v>
      </c>
      <c r="I20" s="655">
        <f t="shared" si="1"/>
        <v>997.5</v>
      </c>
      <c r="J20" s="655">
        <f t="shared" si="2"/>
        <v>9.817499999999999</v>
      </c>
      <c r="K20" s="655">
        <f>SUM($J$2:J20)</f>
        <v>558.10791666666682</v>
      </c>
      <c r="L20" s="655">
        <f t="shared" si="3"/>
        <v>1555.6079166666668</v>
      </c>
    </row>
    <row r="21" spans="6:12" x14ac:dyDescent="0.25">
      <c r="F21">
        <f t="shared" si="0"/>
        <v>1</v>
      </c>
      <c r="G21">
        <v>20</v>
      </c>
      <c r="H21" s="655">
        <f t="shared" si="4"/>
        <v>5302.5</v>
      </c>
      <c r="I21" s="655">
        <f t="shared" si="1"/>
        <v>1050</v>
      </c>
      <c r="J21" s="655">
        <f t="shared" si="2"/>
        <v>9.7212499999999995</v>
      </c>
      <c r="K21" s="655">
        <f>SUM($J$2:J21)</f>
        <v>567.82916666666688</v>
      </c>
      <c r="L21" s="655">
        <f t="shared" si="3"/>
        <v>1617.8291666666669</v>
      </c>
    </row>
    <row r="22" spans="6:12" x14ac:dyDescent="0.25">
      <c r="F22">
        <f t="shared" si="0"/>
        <v>1</v>
      </c>
      <c r="G22">
        <v>21</v>
      </c>
      <c r="H22" s="655">
        <f t="shared" si="4"/>
        <v>5250</v>
      </c>
      <c r="I22" s="655">
        <f t="shared" si="1"/>
        <v>1102.5</v>
      </c>
      <c r="J22" s="655">
        <f t="shared" si="2"/>
        <v>9.625</v>
      </c>
      <c r="K22" s="655">
        <f>SUM($J$2:J22)</f>
        <v>577.45416666666688</v>
      </c>
      <c r="L22" s="655">
        <f t="shared" si="3"/>
        <v>1679.9541666666669</v>
      </c>
    </row>
    <row r="23" spans="6:12" x14ac:dyDescent="0.25">
      <c r="F23">
        <f t="shared" si="0"/>
        <v>1</v>
      </c>
      <c r="G23">
        <v>22</v>
      </c>
      <c r="H23" s="655">
        <f t="shared" si="4"/>
        <v>5197.5</v>
      </c>
      <c r="I23" s="655">
        <f t="shared" si="1"/>
        <v>1155</v>
      </c>
      <c r="J23" s="655">
        <f t="shared" si="2"/>
        <v>9.5287500000000005</v>
      </c>
      <c r="K23" s="655">
        <f>SUM($J$2:J23)</f>
        <v>586.98291666666682</v>
      </c>
      <c r="L23" s="655">
        <f t="shared" si="3"/>
        <v>1741.9829166666668</v>
      </c>
    </row>
    <row r="24" spans="6:12" x14ac:dyDescent="0.25">
      <c r="F24">
        <f t="shared" si="0"/>
        <v>1</v>
      </c>
      <c r="G24">
        <v>23</v>
      </c>
      <c r="H24" s="655">
        <f t="shared" si="4"/>
        <v>5145</v>
      </c>
      <c r="I24" s="655">
        <f t="shared" si="1"/>
        <v>1207.5</v>
      </c>
      <c r="J24" s="655">
        <f t="shared" si="2"/>
        <v>9.4324999999999992</v>
      </c>
      <c r="K24" s="655">
        <f>SUM($J$2:J24)</f>
        <v>596.41541666666683</v>
      </c>
      <c r="L24" s="655">
        <f t="shared" si="3"/>
        <v>1803.9154166666667</v>
      </c>
    </row>
    <row r="25" spans="6:12" x14ac:dyDescent="0.25">
      <c r="F25">
        <f t="shared" si="0"/>
        <v>2</v>
      </c>
      <c r="G25">
        <v>24</v>
      </c>
      <c r="H25" s="655">
        <f t="shared" si="4"/>
        <v>5092.5</v>
      </c>
      <c r="I25" s="655">
        <f t="shared" si="1"/>
        <v>1260</v>
      </c>
      <c r="J25" s="655">
        <f t="shared" si="2"/>
        <v>9.3362499999999997</v>
      </c>
      <c r="K25" s="655">
        <f>SUM($J$2:J25)</f>
        <v>605.75166666666678</v>
      </c>
      <c r="L25" s="655">
        <f t="shared" si="3"/>
        <v>1865.7516666666668</v>
      </c>
    </row>
    <row r="26" spans="6:12" x14ac:dyDescent="0.25">
      <c r="F26">
        <f t="shared" si="0"/>
        <v>2</v>
      </c>
      <c r="G26">
        <v>25</v>
      </c>
      <c r="H26" s="655">
        <f t="shared" si="4"/>
        <v>5040</v>
      </c>
      <c r="I26" s="655">
        <f t="shared" si="1"/>
        <v>1312.5</v>
      </c>
      <c r="J26" s="655">
        <f t="shared" si="2"/>
        <v>9.24</v>
      </c>
      <c r="K26" s="655">
        <f>SUM($J$2:J26)</f>
        <v>614.99166666666679</v>
      </c>
      <c r="L26" s="655">
        <f t="shared" si="3"/>
        <v>1927.4916666666668</v>
      </c>
    </row>
    <row r="27" spans="6:12" x14ac:dyDescent="0.25">
      <c r="F27">
        <f t="shared" si="0"/>
        <v>2</v>
      </c>
      <c r="G27">
        <v>26</v>
      </c>
      <c r="H27" s="655">
        <f t="shared" si="4"/>
        <v>4987.5</v>
      </c>
      <c r="I27" s="655">
        <f t="shared" si="1"/>
        <v>1365</v>
      </c>
      <c r="J27" s="655">
        <f t="shared" si="2"/>
        <v>9.1437500000000007</v>
      </c>
      <c r="K27" s="655">
        <f>SUM($J$2:J27)</f>
        <v>624.13541666666674</v>
      </c>
      <c r="L27" s="655">
        <f t="shared" si="3"/>
        <v>1989.1354166666667</v>
      </c>
    </row>
    <row r="28" spans="6:12" x14ac:dyDescent="0.25">
      <c r="F28">
        <f t="shared" si="0"/>
        <v>2</v>
      </c>
      <c r="G28">
        <v>27</v>
      </c>
      <c r="H28" s="655">
        <f t="shared" si="4"/>
        <v>4935</v>
      </c>
      <c r="I28" s="655">
        <f t="shared" si="1"/>
        <v>1417.5</v>
      </c>
      <c r="J28" s="655">
        <f t="shared" si="2"/>
        <v>9.0474999999999994</v>
      </c>
      <c r="K28" s="655">
        <f>SUM($J$2:J28)</f>
        <v>633.18291666666676</v>
      </c>
      <c r="L28" s="655">
        <f t="shared" si="3"/>
        <v>2050.6829166666666</v>
      </c>
    </row>
    <row r="29" spans="6:12" x14ac:dyDescent="0.25">
      <c r="F29">
        <f t="shared" si="0"/>
        <v>2</v>
      </c>
      <c r="G29">
        <v>28</v>
      </c>
      <c r="H29" s="655">
        <f t="shared" si="4"/>
        <v>4882.5</v>
      </c>
      <c r="I29" s="655">
        <f t="shared" si="1"/>
        <v>1470</v>
      </c>
      <c r="J29" s="655">
        <f t="shared" si="2"/>
        <v>8.9512499999999999</v>
      </c>
      <c r="K29" s="655">
        <f>SUM($J$2:J29)</f>
        <v>642.13416666666672</v>
      </c>
      <c r="L29" s="655">
        <f t="shared" si="3"/>
        <v>2112.1341666666667</v>
      </c>
    </row>
    <row r="30" spans="6:12" x14ac:dyDescent="0.25">
      <c r="F30">
        <f t="shared" si="0"/>
        <v>2</v>
      </c>
      <c r="G30">
        <v>29</v>
      </c>
      <c r="H30" s="655">
        <f t="shared" si="4"/>
        <v>4830</v>
      </c>
      <c r="I30" s="655">
        <f t="shared" si="1"/>
        <v>1522.5</v>
      </c>
      <c r="J30" s="655">
        <f t="shared" si="2"/>
        <v>8.8550000000000004</v>
      </c>
      <c r="K30" s="655">
        <f>SUM($J$2:J30)</f>
        <v>650.98916666666673</v>
      </c>
      <c r="L30" s="655">
        <f t="shared" si="3"/>
        <v>2173.4891666666667</v>
      </c>
    </row>
    <row r="31" spans="6:12" x14ac:dyDescent="0.25">
      <c r="F31">
        <f t="shared" si="0"/>
        <v>2</v>
      </c>
      <c r="G31">
        <v>30</v>
      </c>
      <c r="H31" s="655">
        <f t="shared" si="4"/>
        <v>4777.5</v>
      </c>
      <c r="I31" s="655">
        <f t="shared" si="1"/>
        <v>1575</v>
      </c>
      <c r="J31" s="655">
        <f t="shared" si="2"/>
        <v>8.7587499999999991</v>
      </c>
      <c r="K31" s="655">
        <f>SUM($J$2:J31)</f>
        <v>659.7479166666667</v>
      </c>
      <c r="L31" s="655">
        <f t="shared" si="3"/>
        <v>2234.7479166666667</v>
      </c>
    </row>
    <row r="32" spans="6:12" x14ac:dyDescent="0.25">
      <c r="F32">
        <f t="shared" si="0"/>
        <v>2</v>
      </c>
      <c r="G32">
        <v>31</v>
      </c>
      <c r="H32" s="655">
        <f t="shared" si="4"/>
        <v>4725</v>
      </c>
      <c r="I32" s="655">
        <f t="shared" si="1"/>
        <v>1627.5</v>
      </c>
      <c r="J32" s="655">
        <f t="shared" si="2"/>
        <v>8.6624999999999996</v>
      </c>
      <c r="K32" s="655">
        <f>SUM($J$2:J32)</f>
        <v>668.41041666666672</v>
      </c>
      <c r="L32" s="655">
        <f t="shared" si="3"/>
        <v>2295.9104166666666</v>
      </c>
    </row>
    <row r="33" spans="6:12" x14ac:dyDescent="0.25">
      <c r="F33">
        <f t="shared" si="0"/>
        <v>2</v>
      </c>
      <c r="G33">
        <v>32</v>
      </c>
      <c r="H33" s="655">
        <f t="shared" si="4"/>
        <v>4672.5</v>
      </c>
      <c r="I33" s="655">
        <f t="shared" si="1"/>
        <v>1680</v>
      </c>
      <c r="J33" s="655">
        <f t="shared" si="2"/>
        <v>8.5662500000000001</v>
      </c>
      <c r="K33" s="655">
        <f>SUM($J$2:J33)</f>
        <v>676.97666666666669</v>
      </c>
      <c r="L33" s="655">
        <f t="shared" si="3"/>
        <v>2356.9766666666665</v>
      </c>
    </row>
    <row r="34" spans="6:12" x14ac:dyDescent="0.25">
      <c r="F34">
        <f t="shared" si="0"/>
        <v>2</v>
      </c>
      <c r="G34">
        <v>33</v>
      </c>
      <c r="H34" s="655">
        <f t="shared" si="4"/>
        <v>4620</v>
      </c>
      <c r="I34" s="655">
        <f t="shared" si="1"/>
        <v>1732.5</v>
      </c>
      <c r="J34" s="655">
        <f t="shared" si="2"/>
        <v>8.4700000000000006</v>
      </c>
      <c r="K34" s="655">
        <f>SUM($J$2:J34)</f>
        <v>685.44666666666672</v>
      </c>
      <c r="L34" s="655">
        <f t="shared" si="3"/>
        <v>2417.9466666666667</v>
      </c>
    </row>
    <row r="35" spans="6:12" x14ac:dyDescent="0.25">
      <c r="F35">
        <f t="shared" si="0"/>
        <v>2</v>
      </c>
      <c r="G35">
        <v>34</v>
      </c>
      <c r="H35" s="655">
        <f t="shared" si="4"/>
        <v>4567.5</v>
      </c>
      <c r="I35" s="655">
        <f t="shared" si="1"/>
        <v>1785</v>
      </c>
      <c r="J35" s="655">
        <f t="shared" si="2"/>
        <v>8.3737499999999994</v>
      </c>
      <c r="K35" s="655">
        <f>SUM($J$2:J35)</f>
        <v>693.82041666666669</v>
      </c>
      <c r="L35" s="655">
        <f t="shared" si="3"/>
        <v>2478.8204166666665</v>
      </c>
    </row>
    <row r="36" spans="6:12" x14ac:dyDescent="0.25">
      <c r="F36">
        <f t="shared" si="0"/>
        <v>2</v>
      </c>
      <c r="G36">
        <v>35</v>
      </c>
      <c r="H36" s="655">
        <f t="shared" si="4"/>
        <v>4515</v>
      </c>
      <c r="I36" s="655">
        <f t="shared" si="1"/>
        <v>1837.5</v>
      </c>
      <c r="J36" s="655">
        <f t="shared" si="2"/>
        <v>8.2774999999999999</v>
      </c>
      <c r="K36" s="655">
        <f>SUM($J$2:J36)</f>
        <v>702.09791666666672</v>
      </c>
      <c r="L36" s="655">
        <f t="shared" si="3"/>
        <v>2539.5979166666666</v>
      </c>
    </row>
    <row r="37" spans="6:12" x14ac:dyDescent="0.25">
      <c r="F37">
        <f t="shared" si="0"/>
        <v>3</v>
      </c>
      <c r="G37">
        <v>36</v>
      </c>
      <c r="H37" s="655">
        <f t="shared" si="4"/>
        <v>4462.5</v>
      </c>
      <c r="I37" s="655">
        <f t="shared" si="1"/>
        <v>1890</v>
      </c>
      <c r="J37" s="655">
        <f t="shared" si="2"/>
        <v>8.1812500000000004</v>
      </c>
      <c r="K37" s="655">
        <f>SUM($J$2:J37)</f>
        <v>710.2791666666667</v>
      </c>
      <c r="L37" s="655">
        <f t="shared" si="3"/>
        <v>2600.2791666666667</v>
      </c>
    </row>
    <row r="38" spans="6:12" x14ac:dyDescent="0.25">
      <c r="F38">
        <f t="shared" si="0"/>
        <v>3</v>
      </c>
      <c r="G38">
        <v>37</v>
      </c>
      <c r="H38" s="655">
        <f t="shared" si="4"/>
        <v>4410</v>
      </c>
      <c r="I38" s="655">
        <f t="shared" si="1"/>
        <v>1942.5</v>
      </c>
      <c r="J38" s="655">
        <f t="shared" si="2"/>
        <v>8.0849999999999991</v>
      </c>
      <c r="K38" s="655">
        <f>SUM($J$2:J38)</f>
        <v>718.36416666666673</v>
      </c>
      <c r="L38" s="655">
        <f t="shared" si="3"/>
        <v>2660.8641666666667</v>
      </c>
    </row>
    <row r="39" spans="6:12" x14ac:dyDescent="0.25">
      <c r="F39">
        <f t="shared" si="0"/>
        <v>3</v>
      </c>
      <c r="G39">
        <v>38</v>
      </c>
      <c r="H39" s="655">
        <f t="shared" si="4"/>
        <v>4357.5</v>
      </c>
      <c r="I39" s="655">
        <f t="shared" si="1"/>
        <v>1995</v>
      </c>
      <c r="J39" s="655">
        <f t="shared" si="2"/>
        <v>7.9887499999999996</v>
      </c>
      <c r="K39" s="655">
        <f>SUM($J$2:J39)</f>
        <v>726.35291666666672</v>
      </c>
      <c r="L39" s="655">
        <f t="shared" si="3"/>
        <v>2721.3529166666667</v>
      </c>
    </row>
    <row r="40" spans="6:12" x14ac:dyDescent="0.25">
      <c r="F40">
        <f t="shared" si="0"/>
        <v>3</v>
      </c>
      <c r="G40">
        <v>39</v>
      </c>
      <c r="H40" s="655">
        <f t="shared" si="4"/>
        <v>4305</v>
      </c>
      <c r="I40" s="655">
        <f t="shared" si="1"/>
        <v>2047.5</v>
      </c>
      <c r="J40" s="655">
        <f t="shared" si="2"/>
        <v>7.8925000000000001</v>
      </c>
      <c r="K40" s="655">
        <f>SUM($J$2:J40)</f>
        <v>734.24541666666676</v>
      </c>
      <c r="L40" s="655">
        <f t="shared" si="3"/>
        <v>2781.7454166666666</v>
      </c>
    </row>
    <row r="41" spans="6:12" x14ac:dyDescent="0.25">
      <c r="F41">
        <f t="shared" si="0"/>
        <v>3</v>
      </c>
      <c r="G41">
        <v>40</v>
      </c>
      <c r="H41" s="655">
        <f t="shared" si="4"/>
        <v>4252.5</v>
      </c>
      <c r="I41" s="655">
        <f t="shared" si="1"/>
        <v>2100</v>
      </c>
      <c r="J41" s="655">
        <f t="shared" si="2"/>
        <v>7.7962499999999997</v>
      </c>
      <c r="K41" s="655">
        <f>SUM($J$2:J41)</f>
        <v>742.04166666666674</v>
      </c>
      <c r="L41" s="655">
        <f t="shared" si="3"/>
        <v>2842.041666666667</v>
      </c>
    </row>
    <row r="42" spans="6:12" x14ac:dyDescent="0.25">
      <c r="F42">
        <f t="shared" si="0"/>
        <v>3</v>
      </c>
      <c r="G42">
        <v>41</v>
      </c>
      <c r="H42" s="655">
        <f t="shared" si="4"/>
        <v>4200</v>
      </c>
      <c r="I42" s="655">
        <f t="shared" si="1"/>
        <v>2152.5</v>
      </c>
      <c r="J42" s="655">
        <f t="shared" si="2"/>
        <v>7.7</v>
      </c>
      <c r="K42" s="655">
        <f>SUM($J$2:J42)</f>
        <v>749.74166666666679</v>
      </c>
      <c r="L42" s="655">
        <f t="shared" si="3"/>
        <v>2902.2416666666668</v>
      </c>
    </row>
    <row r="43" spans="6:12" x14ac:dyDescent="0.25">
      <c r="F43">
        <f t="shared" si="0"/>
        <v>3</v>
      </c>
      <c r="G43">
        <v>42</v>
      </c>
      <c r="H43" s="655">
        <f t="shared" si="4"/>
        <v>4147.5</v>
      </c>
      <c r="I43" s="655">
        <f t="shared" si="1"/>
        <v>2205</v>
      </c>
      <c r="J43" s="655">
        <f t="shared" si="2"/>
        <v>7.6037499999999998</v>
      </c>
      <c r="K43" s="655">
        <f>SUM($J$2:J43)</f>
        <v>757.34541666666678</v>
      </c>
      <c r="L43" s="655">
        <f t="shared" si="3"/>
        <v>2962.345416666667</v>
      </c>
    </row>
    <row r="44" spans="6:12" x14ac:dyDescent="0.25">
      <c r="F44">
        <f t="shared" si="0"/>
        <v>3</v>
      </c>
      <c r="G44">
        <v>43</v>
      </c>
      <c r="H44" s="655">
        <f t="shared" si="4"/>
        <v>4095</v>
      </c>
      <c r="I44" s="655">
        <f t="shared" si="1"/>
        <v>2257.5</v>
      </c>
      <c r="J44" s="655">
        <f t="shared" si="2"/>
        <v>7.5075000000000003</v>
      </c>
      <c r="K44" s="655">
        <f>SUM($J$2:J44)</f>
        <v>764.85291666666683</v>
      </c>
      <c r="L44" s="655">
        <f t="shared" si="3"/>
        <v>3022.3529166666667</v>
      </c>
    </row>
    <row r="45" spans="6:12" x14ac:dyDescent="0.25">
      <c r="F45">
        <f t="shared" si="0"/>
        <v>3</v>
      </c>
      <c r="G45">
        <v>44</v>
      </c>
      <c r="H45" s="655">
        <f t="shared" si="4"/>
        <v>4042.5</v>
      </c>
      <c r="I45" s="655">
        <f t="shared" si="1"/>
        <v>2310</v>
      </c>
      <c r="J45" s="655">
        <f t="shared" si="2"/>
        <v>7.4112499999999999</v>
      </c>
      <c r="K45" s="655">
        <f>SUM($J$2:J45)</f>
        <v>772.26416666666682</v>
      </c>
      <c r="L45" s="655">
        <f t="shared" si="3"/>
        <v>3082.2641666666668</v>
      </c>
    </row>
    <row r="46" spans="6:12" x14ac:dyDescent="0.25">
      <c r="F46">
        <f t="shared" si="0"/>
        <v>3</v>
      </c>
      <c r="G46">
        <v>45</v>
      </c>
      <c r="H46" s="655">
        <f t="shared" si="4"/>
        <v>3990</v>
      </c>
      <c r="I46" s="655">
        <f t="shared" si="1"/>
        <v>2362.5</v>
      </c>
      <c r="J46" s="655">
        <f t="shared" si="2"/>
        <v>7.3149999999999995</v>
      </c>
      <c r="K46" s="655">
        <f>SUM($J$2:J46)</f>
        <v>779.57916666666688</v>
      </c>
      <c r="L46" s="655">
        <f t="shared" si="3"/>
        <v>3142.0791666666669</v>
      </c>
    </row>
    <row r="47" spans="6:12" x14ac:dyDescent="0.25">
      <c r="F47">
        <f t="shared" si="0"/>
        <v>3</v>
      </c>
      <c r="G47">
        <v>46</v>
      </c>
      <c r="H47" s="655">
        <f t="shared" si="4"/>
        <v>3937.5</v>
      </c>
      <c r="I47" s="655">
        <f t="shared" si="1"/>
        <v>2415</v>
      </c>
      <c r="J47" s="655">
        <f t="shared" si="2"/>
        <v>7.21875</v>
      </c>
      <c r="K47" s="655">
        <f>SUM($J$2:J47)</f>
        <v>786.79791666666688</v>
      </c>
      <c r="L47" s="655">
        <f t="shared" si="3"/>
        <v>3201.7979166666669</v>
      </c>
    </row>
    <row r="48" spans="6:12" x14ac:dyDescent="0.25">
      <c r="F48">
        <f t="shared" si="0"/>
        <v>3</v>
      </c>
      <c r="G48">
        <v>47</v>
      </c>
      <c r="H48" s="655">
        <f t="shared" si="4"/>
        <v>3885</v>
      </c>
      <c r="I48" s="655">
        <f t="shared" si="1"/>
        <v>2467.5</v>
      </c>
      <c r="J48" s="655">
        <f t="shared" si="2"/>
        <v>7.1224999999999996</v>
      </c>
      <c r="K48" s="655">
        <f>SUM($J$2:J48)</f>
        <v>793.92041666666682</v>
      </c>
      <c r="L48" s="655">
        <f t="shared" si="3"/>
        <v>3261.4204166666668</v>
      </c>
    </row>
    <row r="49" spans="6:12" x14ac:dyDescent="0.25">
      <c r="F49">
        <f t="shared" si="0"/>
        <v>4</v>
      </c>
      <c r="G49">
        <v>48</v>
      </c>
      <c r="H49" s="655">
        <f t="shared" si="4"/>
        <v>3832.5</v>
      </c>
      <c r="I49" s="655">
        <f t="shared" si="1"/>
        <v>2520</v>
      </c>
      <c r="J49" s="655">
        <f t="shared" si="2"/>
        <v>7.0262500000000001</v>
      </c>
      <c r="K49" s="655">
        <f>SUM($J$2:J49)</f>
        <v>800.94666666666683</v>
      </c>
      <c r="L49" s="655">
        <f t="shared" si="3"/>
        <v>3320.9466666666667</v>
      </c>
    </row>
    <row r="50" spans="6:12" x14ac:dyDescent="0.25">
      <c r="F50">
        <f t="shared" si="0"/>
        <v>4</v>
      </c>
      <c r="G50">
        <v>49</v>
      </c>
      <c r="H50" s="655">
        <f t="shared" si="4"/>
        <v>3780</v>
      </c>
      <c r="I50" s="655">
        <f t="shared" si="1"/>
        <v>2572.5</v>
      </c>
      <c r="J50" s="655">
        <f t="shared" si="2"/>
        <v>6.93</v>
      </c>
      <c r="K50" s="655">
        <f>SUM($J$2:J50)</f>
        <v>807.87666666666678</v>
      </c>
      <c r="L50" s="655">
        <f t="shared" si="3"/>
        <v>3380.376666666667</v>
      </c>
    </row>
    <row r="51" spans="6:12" x14ac:dyDescent="0.25">
      <c r="F51">
        <f t="shared" si="0"/>
        <v>4</v>
      </c>
      <c r="G51">
        <v>50</v>
      </c>
      <c r="H51" s="655">
        <f t="shared" si="4"/>
        <v>3727.5</v>
      </c>
      <c r="I51" s="655">
        <f t="shared" si="1"/>
        <v>2625</v>
      </c>
      <c r="J51" s="655">
        <f t="shared" si="2"/>
        <v>6.8337500000000002</v>
      </c>
      <c r="K51" s="655">
        <f>SUM($J$2:J51)</f>
        <v>814.71041666666679</v>
      </c>
      <c r="L51" s="655">
        <f t="shared" si="3"/>
        <v>3439.7104166666668</v>
      </c>
    </row>
    <row r="52" spans="6:12" x14ac:dyDescent="0.25">
      <c r="F52">
        <f t="shared" si="0"/>
        <v>4</v>
      </c>
      <c r="G52">
        <v>51</v>
      </c>
      <c r="H52" s="655">
        <f t="shared" si="4"/>
        <v>3675</v>
      </c>
      <c r="I52" s="655">
        <f t="shared" si="1"/>
        <v>2677.5</v>
      </c>
      <c r="J52" s="655">
        <f t="shared" si="2"/>
        <v>6.7374999999999998</v>
      </c>
      <c r="K52" s="655">
        <f>SUM($J$2:J52)</f>
        <v>821.44791666666674</v>
      </c>
      <c r="L52" s="655">
        <f t="shared" si="3"/>
        <v>3498.947916666667</v>
      </c>
    </row>
    <row r="53" spans="6:12" x14ac:dyDescent="0.25">
      <c r="F53">
        <f t="shared" si="0"/>
        <v>4</v>
      </c>
      <c r="G53">
        <v>52</v>
      </c>
      <c r="H53" s="655">
        <f t="shared" si="4"/>
        <v>3622.5</v>
      </c>
      <c r="I53" s="655">
        <f t="shared" si="1"/>
        <v>2730</v>
      </c>
      <c r="J53" s="655">
        <f t="shared" si="2"/>
        <v>6.6412500000000003</v>
      </c>
      <c r="K53" s="655">
        <f>SUM($J$2:J53)</f>
        <v>828.08916666666676</v>
      </c>
      <c r="L53" s="655">
        <f t="shared" si="3"/>
        <v>3558.0891666666666</v>
      </c>
    </row>
    <row r="54" spans="6:12" x14ac:dyDescent="0.25">
      <c r="F54">
        <f t="shared" si="0"/>
        <v>4</v>
      </c>
      <c r="G54">
        <v>53</v>
      </c>
      <c r="H54" s="655">
        <f t="shared" si="4"/>
        <v>3570</v>
      </c>
      <c r="I54" s="655">
        <f t="shared" si="1"/>
        <v>2782.5</v>
      </c>
      <c r="J54" s="655">
        <f t="shared" si="2"/>
        <v>6.5449999999999999</v>
      </c>
      <c r="K54" s="655">
        <f>SUM($J$2:J54)</f>
        <v>834.63416666666672</v>
      </c>
      <c r="L54" s="655">
        <f t="shared" si="3"/>
        <v>3617.1341666666667</v>
      </c>
    </row>
    <row r="55" spans="6:12" x14ac:dyDescent="0.25">
      <c r="F55">
        <f t="shared" si="0"/>
        <v>4</v>
      </c>
      <c r="G55">
        <v>54</v>
      </c>
      <c r="H55" s="655">
        <f t="shared" si="4"/>
        <v>3517.5</v>
      </c>
      <c r="I55" s="655">
        <f t="shared" si="1"/>
        <v>2835</v>
      </c>
      <c r="J55" s="655">
        <f t="shared" si="2"/>
        <v>6.4487499999999995</v>
      </c>
      <c r="K55" s="655">
        <f>SUM($J$2:J55)</f>
        <v>841.08291666666673</v>
      </c>
      <c r="L55" s="655">
        <f t="shared" si="3"/>
        <v>3676.0829166666667</v>
      </c>
    </row>
    <row r="56" spans="6:12" x14ac:dyDescent="0.25">
      <c r="F56">
        <f t="shared" si="0"/>
        <v>4</v>
      </c>
      <c r="G56">
        <v>55</v>
      </c>
      <c r="H56" s="655">
        <f t="shared" si="4"/>
        <v>3465</v>
      </c>
      <c r="I56" s="655">
        <f t="shared" si="1"/>
        <v>2887.5</v>
      </c>
      <c r="J56" s="655">
        <f t="shared" si="2"/>
        <v>6.3525</v>
      </c>
      <c r="K56" s="655">
        <f>SUM($J$2:J56)</f>
        <v>847.4354166666667</v>
      </c>
      <c r="L56" s="655">
        <f t="shared" si="3"/>
        <v>3734.9354166666667</v>
      </c>
    </row>
    <row r="57" spans="6:12" x14ac:dyDescent="0.25">
      <c r="F57">
        <f t="shared" si="0"/>
        <v>4</v>
      </c>
      <c r="G57">
        <v>56</v>
      </c>
      <c r="H57" s="655">
        <f t="shared" si="4"/>
        <v>3412.5</v>
      </c>
      <c r="I57" s="655">
        <f t="shared" si="1"/>
        <v>2940</v>
      </c>
      <c r="J57" s="655">
        <f t="shared" si="2"/>
        <v>6.2562499999999996</v>
      </c>
      <c r="K57" s="655">
        <f>SUM($J$2:J57)</f>
        <v>853.69166666666672</v>
      </c>
      <c r="L57" s="655">
        <f t="shared" si="3"/>
        <v>3793.6916666666666</v>
      </c>
    </row>
    <row r="58" spans="6:12" x14ac:dyDescent="0.25">
      <c r="F58">
        <f t="shared" si="0"/>
        <v>4</v>
      </c>
      <c r="G58">
        <v>57</v>
      </c>
      <c r="H58" s="655">
        <f t="shared" si="4"/>
        <v>3360</v>
      </c>
      <c r="I58" s="655">
        <f t="shared" si="1"/>
        <v>2992.5</v>
      </c>
      <c r="J58" s="655">
        <f t="shared" si="2"/>
        <v>6.16</v>
      </c>
      <c r="K58" s="655">
        <f>SUM($J$2:J58)</f>
        <v>859.85166666666669</v>
      </c>
      <c r="L58" s="655">
        <f t="shared" si="3"/>
        <v>3852.3516666666665</v>
      </c>
    </row>
    <row r="59" spans="6:12" x14ac:dyDescent="0.25">
      <c r="F59">
        <f t="shared" si="0"/>
        <v>4</v>
      </c>
      <c r="G59">
        <v>58</v>
      </c>
      <c r="H59" s="655">
        <f t="shared" si="4"/>
        <v>3307.5</v>
      </c>
      <c r="I59" s="655">
        <f t="shared" si="1"/>
        <v>3045</v>
      </c>
      <c r="J59" s="655">
        <f t="shared" si="2"/>
        <v>6.0637499999999998</v>
      </c>
      <c r="K59" s="655">
        <f>SUM($J$2:J59)</f>
        <v>865.91541666666672</v>
      </c>
      <c r="L59" s="655">
        <f t="shared" si="3"/>
        <v>3910.9154166666667</v>
      </c>
    </row>
    <row r="60" spans="6:12" x14ac:dyDescent="0.25">
      <c r="F60">
        <f t="shared" si="0"/>
        <v>4</v>
      </c>
      <c r="G60">
        <v>59</v>
      </c>
      <c r="H60" s="655">
        <f t="shared" si="4"/>
        <v>3255</v>
      </c>
      <c r="I60" s="655">
        <f t="shared" si="1"/>
        <v>3097.5</v>
      </c>
      <c r="J60" s="655">
        <f t="shared" si="2"/>
        <v>5.9675000000000002</v>
      </c>
      <c r="K60" s="655">
        <f>SUM($J$2:J60)</f>
        <v>871.88291666666669</v>
      </c>
      <c r="L60" s="655">
        <f t="shared" si="3"/>
        <v>3969.3829166666665</v>
      </c>
    </row>
    <row r="61" spans="6:12" x14ac:dyDescent="0.25">
      <c r="F61">
        <f t="shared" si="0"/>
        <v>5</v>
      </c>
      <c r="G61">
        <v>60</v>
      </c>
      <c r="H61" s="655">
        <f t="shared" si="4"/>
        <v>3202.5</v>
      </c>
      <c r="I61" s="655">
        <f t="shared" si="1"/>
        <v>3150</v>
      </c>
      <c r="J61" s="655">
        <f t="shared" si="2"/>
        <v>5.8712499999999999</v>
      </c>
      <c r="K61" s="655">
        <f>SUM($J$2:J61)</f>
        <v>877.75416666666672</v>
      </c>
      <c r="L61" s="655">
        <f t="shared" si="3"/>
        <v>4027.7541666666666</v>
      </c>
    </row>
    <row r="62" spans="6:12" x14ac:dyDescent="0.25">
      <c r="F62">
        <f t="shared" si="0"/>
        <v>5</v>
      </c>
      <c r="G62">
        <v>61</v>
      </c>
      <c r="H62" s="655">
        <f t="shared" si="4"/>
        <v>3150</v>
      </c>
      <c r="I62" s="655">
        <f t="shared" si="1"/>
        <v>3202.5</v>
      </c>
      <c r="J62" s="655">
        <f t="shared" si="2"/>
        <v>5.7749999999999995</v>
      </c>
      <c r="K62" s="655">
        <f>SUM($J$2:J62)</f>
        <v>883.5291666666667</v>
      </c>
      <c r="L62" s="655">
        <f t="shared" si="3"/>
        <v>4086.0291666666667</v>
      </c>
    </row>
    <row r="63" spans="6:12" x14ac:dyDescent="0.25">
      <c r="F63">
        <f t="shared" si="0"/>
        <v>5</v>
      </c>
      <c r="G63">
        <v>62</v>
      </c>
      <c r="H63" s="655">
        <f t="shared" si="4"/>
        <v>3097.5</v>
      </c>
      <c r="I63" s="655">
        <f t="shared" si="1"/>
        <v>3255</v>
      </c>
      <c r="J63" s="655">
        <f t="shared" si="2"/>
        <v>5.67875</v>
      </c>
      <c r="K63" s="655">
        <f>SUM($J$2:J63)</f>
        <v>889.20791666666673</v>
      </c>
      <c r="L63" s="655">
        <f t="shared" si="3"/>
        <v>4144.2079166666663</v>
      </c>
    </row>
    <row r="64" spans="6:12" x14ac:dyDescent="0.25">
      <c r="F64">
        <f t="shared" si="0"/>
        <v>5</v>
      </c>
      <c r="G64">
        <v>63</v>
      </c>
      <c r="H64" s="655">
        <f t="shared" si="4"/>
        <v>3045</v>
      </c>
      <c r="I64" s="655">
        <f t="shared" si="1"/>
        <v>3307.5</v>
      </c>
      <c r="J64" s="655">
        <f t="shared" si="2"/>
        <v>5.5824999999999996</v>
      </c>
      <c r="K64" s="655">
        <f>SUM($J$2:J64)</f>
        <v>894.79041666666672</v>
      </c>
      <c r="L64" s="655">
        <f t="shared" si="3"/>
        <v>4202.2904166666667</v>
      </c>
    </row>
    <row r="65" spans="6:12" x14ac:dyDescent="0.25">
      <c r="F65">
        <f t="shared" si="0"/>
        <v>5</v>
      </c>
      <c r="G65">
        <v>64</v>
      </c>
      <c r="H65" s="655">
        <f t="shared" si="4"/>
        <v>2992.5</v>
      </c>
      <c r="I65" s="655">
        <f t="shared" si="1"/>
        <v>3360</v>
      </c>
      <c r="J65" s="655">
        <f t="shared" si="2"/>
        <v>5.4862500000000001</v>
      </c>
      <c r="K65" s="655">
        <f>SUM($J$2:J65)</f>
        <v>900.27666666666676</v>
      </c>
      <c r="L65" s="655">
        <f t="shared" si="3"/>
        <v>4260.2766666666666</v>
      </c>
    </row>
    <row r="66" spans="6:12" x14ac:dyDescent="0.25">
      <c r="F66">
        <f t="shared" si="0"/>
        <v>5</v>
      </c>
      <c r="G66">
        <v>65</v>
      </c>
      <c r="H66" s="655">
        <f t="shared" si="4"/>
        <v>2940</v>
      </c>
      <c r="I66" s="655">
        <f t="shared" si="1"/>
        <v>3412.5</v>
      </c>
      <c r="J66" s="655">
        <f t="shared" si="2"/>
        <v>5.39</v>
      </c>
      <c r="K66" s="655">
        <f>SUM($J$2:J66)</f>
        <v>905.66666666666674</v>
      </c>
      <c r="L66" s="655">
        <f t="shared" si="3"/>
        <v>4318.166666666667</v>
      </c>
    </row>
    <row r="67" spans="6:12" x14ac:dyDescent="0.25">
      <c r="F67">
        <f t="shared" ref="F67:F130" si="5">QUOTIENT(G67,12)</f>
        <v>5</v>
      </c>
      <c r="G67">
        <v>66</v>
      </c>
      <c r="H67" s="655">
        <f t="shared" si="4"/>
        <v>2887.5</v>
      </c>
      <c r="I67" s="655">
        <f t="shared" ref="I67:I130" si="6">G67*$D$9</f>
        <v>3465</v>
      </c>
      <c r="J67" s="655">
        <f t="shared" ref="J67:J130" si="7">H67*$D$11</f>
        <v>5.2937500000000002</v>
      </c>
      <c r="K67" s="655">
        <f>SUM($J$2:J67)</f>
        <v>910.96041666666679</v>
      </c>
      <c r="L67" s="655">
        <f t="shared" ref="L67:L130" si="8">I67+K67</f>
        <v>4375.9604166666668</v>
      </c>
    </row>
    <row r="68" spans="6:12" x14ac:dyDescent="0.25">
      <c r="F68">
        <f t="shared" si="5"/>
        <v>5</v>
      </c>
      <c r="G68">
        <v>67</v>
      </c>
      <c r="H68" s="655">
        <f t="shared" ref="H68:H131" si="9">$D$6-I67</f>
        <v>2835</v>
      </c>
      <c r="I68" s="655">
        <f t="shared" si="6"/>
        <v>3517.5</v>
      </c>
      <c r="J68" s="655">
        <f t="shared" si="7"/>
        <v>5.1974999999999998</v>
      </c>
      <c r="K68" s="655">
        <f>SUM($J$2:J68)</f>
        <v>916.15791666666678</v>
      </c>
      <c r="L68" s="655">
        <f t="shared" si="8"/>
        <v>4433.657916666667</v>
      </c>
    </row>
    <row r="69" spans="6:12" x14ac:dyDescent="0.25">
      <c r="F69">
        <f t="shared" si="5"/>
        <v>5</v>
      </c>
      <c r="G69">
        <v>68</v>
      </c>
      <c r="H69" s="655">
        <f t="shared" si="9"/>
        <v>2782.5</v>
      </c>
      <c r="I69" s="655">
        <f t="shared" si="6"/>
        <v>3570</v>
      </c>
      <c r="J69" s="655">
        <f t="shared" si="7"/>
        <v>5.1012500000000003</v>
      </c>
      <c r="K69" s="655">
        <f>SUM($J$2:J69)</f>
        <v>921.25916666666683</v>
      </c>
      <c r="L69" s="655">
        <f t="shared" si="8"/>
        <v>4491.2591666666667</v>
      </c>
    </row>
    <row r="70" spans="6:12" x14ac:dyDescent="0.25">
      <c r="F70">
        <f t="shared" si="5"/>
        <v>5</v>
      </c>
      <c r="G70">
        <v>69</v>
      </c>
      <c r="H70" s="655">
        <f t="shared" si="9"/>
        <v>2730</v>
      </c>
      <c r="I70" s="655">
        <f t="shared" si="6"/>
        <v>3622.5</v>
      </c>
      <c r="J70" s="655">
        <f t="shared" si="7"/>
        <v>5.0049999999999999</v>
      </c>
      <c r="K70" s="655">
        <f>SUM($J$2:J70)</f>
        <v>926.26416666666682</v>
      </c>
      <c r="L70" s="655">
        <f t="shared" si="8"/>
        <v>4548.7641666666668</v>
      </c>
    </row>
    <row r="71" spans="6:12" x14ac:dyDescent="0.25">
      <c r="F71">
        <f t="shared" si="5"/>
        <v>5</v>
      </c>
      <c r="G71">
        <v>70</v>
      </c>
      <c r="H71" s="655">
        <f t="shared" si="9"/>
        <v>2677.5</v>
      </c>
      <c r="I71" s="655">
        <f t="shared" si="6"/>
        <v>3675</v>
      </c>
      <c r="J71" s="655">
        <f t="shared" si="7"/>
        <v>4.9087499999999995</v>
      </c>
      <c r="K71" s="655">
        <f>SUM($J$2:J71)</f>
        <v>931.17291666666688</v>
      </c>
      <c r="L71" s="655">
        <f t="shared" si="8"/>
        <v>4606.1729166666664</v>
      </c>
    </row>
    <row r="72" spans="6:12" x14ac:dyDescent="0.25">
      <c r="F72">
        <f t="shared" si="5"/>
        <v>5</v>
      </c>
      <c r="G72">
        <v>71</v>
      </c>
      <c r="H72" s="655">
        <f t="shared" si="9"/>
        <v>2625</v>
      </c>
      <c r="I72" s="655">
        <f t="shared" si="6"/>
        <v>3727.5</v>
      </c>
      <c r="J72" s="655">
        <f t="shared" si="7"/>
        <v>4.8125</v>
      </c>
      <c r="K72" s="655">
        <f>SUM($J$2:J72)</f>
        <v>935.98541666666688</v>
      </c>
      <c r="L72" s="655">
        <f t="shared" si="8"/>
        <v>4663.4854166666664</v>
      </c>
    </row>
    <row r="73" spans="6:12" x14ac:dyDescent="0.25">
      <c r="F73">
        <f t="shared" si="5"/>
        <v>6</v>
      </c>
      <c r="G73">
        <v>72</v>
      </c>
      <c r="H73" s="655">
        <f t="shared" si="9"/>
        <v>2572.5</v>
      </c>
      <c r="I73" s="655">
        <f t="shared" si="6"/>
        <v>3780</v>
      </c>
      <c r="J73" s="655">
        <f t="shared" si="7"/>
        <v>4.7162499999999996</v>
      </c>
      <c r="K73" s="655">
        <f>SUM($J$2:J73)</f>
        <v>940.70166666666682</v>
      </c>
      <c r="L73" s="655">
        <f t="shared" si="8"/>
        <v>4720.7016666666668</v>
      </c>
    </row>
    <row r="74" spans="6:12" x14ac:dyDescent="0.25">
      <c r="F74">
        <f t="shared" si="5"/>
        <v>6</v>
      </c>
      <c r="G74">
        <v>73</v>
      </c>
      <c r="H74" s="655">
        <f t="shared" si="9"/>
        <v>2520</v>
      </c>
      <c r="I74" s="655">
        <f t="shared" si="6"/>
        <v>3832.5</v>
      </c>
      <c r="J74" s="655">
        <f t="shared" si="7"/>
        <v>4.62</v>
      </c>
      <c r="K74" s="655">
        <f>SUM($J$2:J74)</f>
        <v>945.32166666666683</v>
      </c>
      <c r="L74" s="655">
        <f t="shared" si="8"/>
        <v>4777.8216666666667</v>
      </c>
    </row>
    <row r="75" spans="6:12" x14ac:dyDescent="0.25">
      <c r="F75">
        <f t="shared" si="5"/>
        <v>6</v>
      </c>
      <c r="G75">
        <v>74</v>
      </c>
      <c r="H75" s="655">
        <f t="shared" si="9"/>
        <v>2467.5</v>
      </c>
      <c r="I75" s="655">
        <f t="shared" si="6"/>
        <v>3885</v>
      </c>
      <c r="J75" s="655">
        <f t="shared" si="7"/>
        <v>4.5237499999999997</v>
      </c>
      <c r="K75" s="655">
        <f>SUM($J$2:J75)</f>
        <v>949.84541666666678</v>
      </c>
      <c r="L75" s="655">
        <f t="shared" si="8"/>
        <v>4834.845416666667</v>
      </c>
    </row>
    <row r="76" spans="6:12" x14ac:dyDescent="0.25">
      <c r="F76">
        <f t="shared" si="5"/>
        <v>6</v>
      </c>
      <c r="G76">
        <v>75</v>
      </c>
      <c r="H76" s="655">
        <f t="shared" si="9"/>
        <v>2415</v>
      </c>
      <c r="I76" s="655">
        <f t="shared" si="6"/>
        <v>3937.5</v>
      </c>
      <c r="J76" s="655">
        <f t="shared" si="7"/>
        <v>4.4275000000000002</v>
      </c>
      <c r="K76" s="655">
        <f>SUM($J$2:J76)</f>
        <v>954.27291666666679</v>
      </c>
      <c r="L76" s="655">
        <f t="shared" si="8"/>
        <v>4891.7729166666668</v>
      </c>
    </row>
    <row r="77" spans="6:12" x14ac:dyDescent="0.25">
      <c r="F77">
        <f t="shared" si="5"/>
        <v>6</v>
      </c>
      <c r="G77">
        <v>76</v>
      </c>
      <c r="H77" s="655">
        <f t="shared" si="9"/>
        <v>2362.5</v>
      </c>
      <c r="I77" s="655">
        <f t="shared" si="6"/>
        <v>3990</v>
      </c>
      <c r="J77" s="655">
        <f t="shared" si="7"/>
        <v>4.3312499999999998</v>
      </c>
      <c r="K77" s="655">
        <f>SUM($J$2:J77)</f>
        <v>958.60416666666674</v>
      </c>
      <c r="L77" s="655">
        <f t="shared" si="8"/>
        <v>4948.604166666667</v>
      </c>
    </row>
    <row r="78" spans="6:12" x14ac:dyDescent="0.25">
      <c r="F78">
        <f t="shared" si="5"/>
        <v>6</v>
      </c>
      <c r="G78">
        <v>77</v>
      </c>
      <c r="H78" s="655">
        <f t="shared" si="9"/>
        <v>2310</v>
      </c>
      <c r="I78" s="655">
        <f t="shared" si="6"/>
        <v>4042.5</v>
      </c>
      <c r="J78" s="655">
        <f t="shared" si="7"/>
        <v>4.2350000000000003</v>
      </c>
      <c r="K78" s="655">
        <f>SUM($J$2:J78)</f>
        <v>962.83916666666676</v>
      </c>
      <c r="L78" s="655">
        <f t="shared" si="8"/>
        <v>5005.3391666666666</v>
      </c>
    </row>
    <row r="79" spans="6:12" x14ac:dyDescent="0.25">
      <c r="F79">
        <f t="shared" si="5"/>
        <v>6</v>
      </c>
      <c r="G79">
        <v>78</v>
      </c>
      <c r="H79" s="655">
        <f t="shared" si="9"/>
        <v>2257.5</v>
      </c>
      <c r="I79" s="655">
        <f t="shared" si="6"/>
        <v>4095</v>
      </c>
      <c r="J79" s="655">
        <f t="shared" si="7"/>
        <v>4.1387499999999999</v>
      </c>
      <c r="K79" s="655">
        <f>SUM($J$2:J79)</f>
        <v>966.97791666666672</v>
      </c>
      <c r="L79" s="655">
        <f t="shared" si="8"/>
        <v>5061.9779166666667</v>
      </c>
    </row>
    <row r="80" spans="6:12" x14ac:dyDescent="0.25">
      <c r="F80">
        <f t="shared" si="5"/>
        <v>6</v>
      </c>
      <c r="G80">
        <v>79</v>
      </c>
      <c r="H80" s="655">
        <f t="shared" si="9"/>
        <v>2205</v>
      </c>
      <c r="I80" s="655">
        <f t="shared" si="6"/>
        <v>4147.5</v>
      </c>
      <c r="J80" s="655">
        <f t="shared" si="7"/>
        <v>4.0424999999999995</v>
      </c>
      <c r="K80" s="655">
        <f>SUM($J$2:J80)</f>
        <v>971.02041666666673</v>
      </c>
      <c r="L80" s="655">
        <f t="shared" si="8"/>
        <v>5118.5204166666663</v>
      </c>
    </row>
    <row r="81" spans="6:12" x14ac:dyDescent="0.25">
      <c r="F81">
        <f t="shared" si="5"/>
        <v>6</v>
      </c>
      <c r="G81">
        <v>80</v>
      </c>
      <c r="H81" s="655">
        <f t="shared" si="9"/>
        <v>2152.5</v>
      </c>
      <c r="I81" s="655">
        <f t="shared" si="6"/>
        <v>4200</v>
      </c>
      <c r="J81" s="655">
        <f t="shared" si="7"/>
        <v>3.94625</v>
      </c>
      <c r="K81" s="655">
        <f>SUM($J$2:J81)</f>
        <v>974.9666666666667</v>
      </c>
      <c r="L81" s="655">
        <f t="shared" si="8"/>
        <v>5174.9666666666672</v>
      </c>
    </row>
    <row r="82" spans="6:12" x14ac:dyDescent="0.25">
      <c r="F82">
        <f t="shared" si="5"/>
        <v>6</v>
      </c>
      <c r="G82">
        <v>81</v>
      </c>
      <c r="H82" s="655">
        <f t="shared" si="9"/>
        <v>2100</v>
      </c>
      <c r="I82" s="655">
        <f t="shared" si="6"/>
        <v>4252.5</v>
      </c>
      <c r="J82" s="655">
        <f t="shared" si="7"/>
        <v>3.85</v>
      </c>
      <c r="K82" s="655">
        <f>SUM($J$2:J82)</f>
        <v>978.81666666666672</v>
      </c>
      <c r="L82" s="655">
        <f t="shared" si="8"/>
        <v>5231.3166666666666</v>
      </c>
    </row>
    <row r="83" spans="6:12" x14ac:dyDescent="0.25">
      <c r="F83">
        <f t="shared" si="5"/>
        <v>6</v>
      </c>
      <c r="G83">
        <v>82</v>
      </c>
      <c r="H83" s="655">
        <f t="shared" si="9"/>
        <v>2047.5</v>
      </c>
      <c r="I83" s="655">
        <f t="shared" si="6"/>
        <v>4305</v>
      </c>
      <c r="J83" s="655">
        <f t="shared" si="7"/>
        <v>3.7537500000000001</v>
      </c>
      <c r="K83" s="655">
        <f>SUM($J$2:J83)</f>
        <v>982.57041666666669</v>
      </c>
      <c r="L83" s="655">
        <f t="shared" si="8"/>
        <v>5287.5704166666665</v>
      </c>
    </row>
    <row r="84" spans="6:12" x14ac:dyDescent="0.25">
      <c r="F84">
        <f t="shared" si="5"/>
        <v>6</v>
      </c>
      <c r="G84">
        <v>83</v>
      </c>
      <c r="H84" s="655">
        <f t="shared" si="9"/>
        <v>1995</v>
      </c>
      <c r="I84" s="655">
        <f t="shared" si="6"/>
        <v>4357.5</v>
      </c>
      <c r="J84" s="655">
        <f t="shared" si="7"/>
        <v>3.6574999999999998</v>
      </c>
      <c r="K84" s="655">
        <f>SUM($J$2:J84)</f>
        <v>986.22791666666672</v>
      </c>
      <c r="L84" s="655">
        <f t="shared" si="8"/>
        <v>5343.7279166666667</v>
      </c>
    </row>
    <row r="85" spans="6:12" x14ac:dyDescent="0.25">
      <c r="F85">
        <f t="shared" si="5"/>
        <v>7</v>
      </c>
      <c r="G85">
        <v>84</v>
      </c>
      <c r="H85" s="655">
        <f t="shared" si="9"/>
        <v>1942.5</v>
      </c>
      <c r="I85" s="655">
        <f t="shared" si="6"/>
        <v>4410</v>
      </c>
      <c r="J85" s="655">
        <f t="shared" si="7"/>
        <v>3.5612499999999998</v>
      </c>
      <c r="K85" s="655">
        <f>SUM($J$2:J85)</f>
        <v>989.78916666666669</v>
      </c>
      <c r="L85" s="655">
        <f t="shared" si="8"/>
        <v>5399.7891666666665</v>
      </c>
    </row>
    <row r="86" spans="6:12" x14ac:dyDescent="0.25">
      <c r="F86">
        <f t="shared" si="5"/>
        <v>7</v>
      </c>
      <c r="G86">
        <v>85</v>
      </c>
      <c r="H86" s="655">
        <f t="shared" si="9"/>
        <v>1890</v>
      </c>
      <c r="I86" s="655">
        <f t="shared" si="6"/>
        <v>4462.5</v>
      </c>
      <c r="J86" s="655">
        <f t="shared" si="7"/>
        <v>3.4649999999999999</v>
      </c>
      <c r="K86" s="655">
        <f>SUM($J$2:J86)</f>
        <v>993.25416666666672</v>
      </c>
      <c r="L86" s="655">
        <f t="shared" si="8"/>
        <v>5455.7541666666666</v>
      </c>
    </row>
    <row r="87" spans="6:12" x14ac:dyDescent="0.25">
      <c r="F87">
        <f t="shared" si="5"/>
        <v>7</v>
      </c>
      <c r="G87">
        <v>86</v>
      </c>
      <c r="H87" s="655">
        <f t="shared" si="9"/>
        <v>1837.5</v>
      </c>
      <c r="I87" s="655">
        <f t="shared" si="6"/>
        <v>4515</v>
      </c>
      <c r="J87" s="655">
        <f t="shared" si="7"/>
        <v>3.3687499999999999</v>
      </c>
      <c r="K87" s="655">
        <f>SUM($J$2:J87)</f>
        <v>996.6229166666667</v>
      </c>
      <c r="L87" s="655">
        <f t="shared" si="8"/>
        <v>5511.6229166666672</v>
      </c>
    </row>
    <row r="88" spans="6:12" x14ac:dyDescent="0.25">
      <c r="F88">
        <f t="shared" si="5"/>
        <v>7</v>
      </c>
      <c r="G88">
        <v>87</v>
      </c>
      <c r="H88" s="655">
        <f t="shared" si="9"/>
        <v>1785</v>
      </c>
      <c r="I88" s="655">
        <f t="shared" si="6"/>
        <v>4567.5</v>
      </c>
      <c r="J88" s="655">
        <f t="shared" si="7"/>
        <v>3.2725</v>
      </c>
      <c r="K88" s="655">
        <f>SUM($J$2:J88)</f>
        <v>999.89541666666673</v>
      </c>
      <c r="L88" s="655">
        <f t="shared" si="8"/>
        <v>5567.3954166666663</v>
      </c>
    </row>
    <row r="89" spans="6:12" x14ac:dyDescent="0.25">
      <c r="F89">
        <f t="shared" si="5"/>
        <v>7</v>
      </c>
      <c r="G89">
        <v>88</v>
      </c>
      <c r="H89" s="655">
        <f t="shared" si="9"/>
        <v>1732.5</v>
      </c>
      <c r="I89" s="655">
        <f t="shared" si="6"/>
        <v>4620</v>
      </c>
      <c r="J89" s="655">
        <f t="shared" si="7"/>
        <v>3.17625</v>
      </c>
      <c r="K89" s="655">
        <f>SUM($J$2:J89)</f>
        <v>1003.0716666666667</v>
      </c>
      <c r="L89" s="655">
        <f t="shared" si="8"/>
        <v>5623.0716666666667</v>
      </c>
    </row>
    <row r="90" spans="6:12" x14ac:dyDescent="0.25">
      <c r="F90">
        <f t="shared" si="5"/>
        <v>7</v>
      </c>
      <c r="G90">
        <v>89</v>
      </c>
      <c r="H90" s="655">
        <f t="shared" si="9"/>
        <v>1680</v>
      </c>
      <c r="I90" s="655">
        <f t="shared" si="6"/>
        <v>4672.5</v>
      </c>
      <c r="J90" s="655">
        <f t="shared" si="7"/>
        <v>3.08</v>
      </c>
      <c r="K90" s="655">
        <f>SUM($J$2:J90)</f>
        <v>1006.1516666666668</v>
      </c>
      <c r="L90" s="655">
        <f t="shared" si="8"/>
        <v>5678.6516666666666</v>
      </c>
    </row>
    <row r="91" spans="6:12" x14ac:dyDescent="0.25">
      <c r="F91">
        <f t="shared" si="5"/>
        <v>7</v>
      </c>
      <c r="G91">
        <v>90</v>
      </c>
      <c r="H91" s="655">
        <f t="shared" si="9"/>
        <v>1627.5</v>
      </c>
      <c r="I91" s="655">
        <f t="shared" si="6"/>
        <v>4725</v>
      </c>
      <c r="J91" s="655">
        <f t="shared" si="7"/>
        <v>2.9837500000000001</v>
      </c>
      <c r="K91" s="655">
        <f>SUM($J$2:J91)</f>
        <v>1009.1354166666667</v>
      </c>
      <c r="L91" s="655">
        <f t="shared" si="8"/>
        <v>5734.135416666667</v>
      </c>
    </row>
    <row r="92" spans="6:12" x14ac:dyDescent="0.25">
      <c r="F92">
        <f t="shared" si="5"/>
        <v>7</v>
      </c>
      <c r="G92">
        <v>91</v>
      </c>
      <c r="H92" s="655">
        <f t="shared" si="9"/>
        <v>1575</v>
      </c>
      <c r="I92" s="655">
        <f t="shared" si="6"/>
        <v>4777.5</v>
      </c>
      <c r="J92" s="655">
        <f t="shared" si="7"/>
        <v>2.8874999999999997</v>
      </c>
      <c r="K92" s="655">
        <f>SUM($J$2:J92)</f>
        <v>1012.0229166666668</v>
      </c>
      <c r="L92" s="655">
        <f t="shared" si="8"/>
        <v>5789.5229166666668</v>
      </c>
    </row>
    <row r="93" spans="6:12" x14ac:dyDescent="0.25">
      <c r="F93">
        <f t="shared" si="5"/>
        <v>7</v>
      </c>
      <c r="G93">
        <v>92</v>
      </c>
      <c r="H93" s="655">
        <f t="shared" si="9"/>
        <v>1522.5</v>
      </c>
      <c r="I93" s="655">
        <f t="shared" si="6"/>
        <v>4830</v>
      </c>
      <c r="J93" s="655">
        <f t="shared" si="7"/>
        <v>2.7912499999999998</v>
      </c>
      <c r="K93" s="655">
        <f>SUM($J$2:J93)</f>
        <v>1014.8141666666668</v>
      </c>
      <c r="L93" s="655">
        <f t="shared" si="8"/>
        <v>5844.814166666667</v>
      </c>
    </row>
    <row r="94" spans="6:12" x14ac:dyDescent="0.25">
      <c r="F94">
        <f t="shared" si="5"/>
        <v>7</v>
      </c>
      <c r="G94">
        <v>93</v>
      </c>
      <c r="H94" s="655">
        <f t="shared" si="9"/>
        <v>1470</v>
      </c>
      <c r="I94" s="655">
        <f t="shared" si="6"/>
        <v>4882.5</v>
      </c>
      <c r="J94" s="655">
        <f t="shared" si="7"/>
        <v>2.6949999999999998</v>
      </c>
      <c r="K94" s="655">
        <f>SUM($J$2:J94)</f>
        <v>1017.5091666666668</v>
      </c>
      <c r="L94" s="655">
        <f t="shared" si="8"/>
        <v>5900.0091666666667</v>
      </c>
    </row>
    <row r="95" spans="6:12" x14ac:dyDescent="0.25">
      <c r="F95">
        <f t="shared" si="5"/>
        <v>7</v>
      </c>
      <c r="G95">
        <v>94</v>
      </c>
      <c r="H95" s="655">
        <f t="shared" si="9"/>
        <v>1417.5</v>
      </c>
      <c r="I95" s="655">
        <f t="shared" si="6"/>
        <v>4935</v>
      </c>
      <c r="J95" s="655">
        <f t="shared" si="7"/>
        <v>2.5987499999999999</v>
      </c>
      <c r="K95" s="655">
        <f>SUM($J$2:J95)</f>
        <v>1020.1079166666668</v>
      </c>
      <c r="L95" s="655">
        <f t="shared" si="8"/>
        <v>5955.1079166666668</v>
      </c>
    </row>
    <row r="96" spans="6:12" x14ac:dyDescent="0.25">
      <c r="F96">
        <f t="shared" si="5"/>
        <v>7</v>
      </c>
      <c r="G96">
        <v>95</v>
      </c>
      <c r="H96" s="655">
        <f t="shared" si="9"/>
        <v>1365</v>
      </c>
      <c r="I96" s="655">
        <f t="shared" si="6"/>
        <v>4987.5</v>
      </c>
      <c r="J96" s="655">
        <f t="shared" si="7"/>
        <v>2.5024999999999999</v>
      </c>
      <c r="K96" s="655">
        <f>SUM($J$2:J96)</f>
        <v>1022.6104166666669</v>
      </c>
      <c r="L96" s="655">
        <f t="shared" si="8"/>
        <v>6010.1104166666664</v>
      </c>
    </row>
    <row r="97" spans="6:12" x14ac:dyDescent="0.25">
      <c r="F97">
        <f t="shared" si="5"/>
        <v>8</v>
      </c>
      <c r="G97">
        <v>96</v>
      </c>
      <c r="H97" s="655">
        <f t="shared" si="9"/>
        <v>1312.5</v>
      </c>
      <c r="I97" s="655">
        <f t="shared" si="6"/>
        <v>5040</v>
      </c>
      <c r="J97" s="655">
        <f t="shared" si="7"/>
        <v>2.40625</v>
      </c>
      <c r="K97" s="655">
        <f>SUM($J$2:J97)</f>
        <v>1025.0166666666669</v>
      </c>
      <c r="L97" s="655">
        <f t="shared" si="8"/>
        <v>6065.0166666666664</v>
      </c>
    </row>
    <row r="98" spans="6:12" x14ac:dyDescent="0.25">
      <c r="F98">
        <f t="shared" si="5"/>
        <v>8</v>
      </c>
      <c r="G98">
        <v>97</v>
      </c>
      <c r="H98" s="655">
        <f t="shared" si="9"/>
        <v>1260</v>
      </c>
      <c r="I98" s="655">
        <f t="shared" si="6"/>
        <v>5092.5</v>
      </c>
      <c r="J98" s="655">
        <f t="shared" si="7"/>
        <v>2.31</v>
      </c>
      <c r="K98" s="655">
        <f>SUM($J$2:J98)</f>
        <v>1027.3266666666668</v>
      </c>
      <c r="L98" s="655">
        <f t="shared" si="8"/>
        <v>6119.8266666666668</v>
      </c>
    </row>
    <row r="99" spans="6:12" x14ac:dyDescent="0.25">
      <c r="F99">
        <f t="shared" si="5"/>
        <v>8</v>
      </c>
      <c r="G99">
        <v>98</v>
      </c>
      <c r="H99" s="655">
        <f t="shared" si="9"/>
        <v>1207.5</v>
      </c>
      <c r="I99" s="655">
        <f t="shared" si="6"/>
        <v>5145</v>
      </c>
      <c r="J99" s="655">
        <f t="shared" si="7"/>
        <v>2.2137500000000001</v>
      </c>
      <c r="K99" s="655">
        <f>SUM($J$2:J99)</f>
        <v>1029.5404166666667</v>
      </c>
      <c r="L99" s="655">
        <f t="shared" si="8"/>
        <v>6174.5404166666667</v>
      </c>
    </row>
    <row r="100" spans="6:12" x14ac:dyDescent="0.25">
      <c r="F100">
        <f t="shared" si="5"/>
        <v>8</v>
      </c>
      <c r="G100">
        <v>99</v>
      </c>
      <c r="H100" s="655">
        <f t="shared" si="9"/>
        <v>1155</v>
      </c>
      <c r="I100" s="655">
        <f t="shared" si="6"/>
        <v>5197.5</v>
      </c>
      <c r="J100" s="655">
        <f t="shared" si="7"/>
        <v>2.1175000000000002</v>
      </c>
      <c r="K100" s="655">
        <f>SUM($J$2:J100)</f>
        <v>1031.6579166666668</v>
      </c>
      <c r="L100" s="655">
        <f t="shared" si="8"/>
        <v>6229.157916666667</v>
      </c>
    </row>
    <row r="101" spans="6:12" x14ac:dyDescent="0.25">
      <c r="F101">
        <f t="shared" si="5"/>
        <v>8</v>
      </c>
      <c r="G101">
        <v>100</v>
      </c>
      <c r="H101" s="655">
        <f t="shared" si="9"/>
        <v>1102.5</v>
      </c>
      <c r="I101" s="655">
        <f t="shared" si="6"/>
        <v>5250</v>
      </c>
      <c r="J101" s="655">
        <f t="shared" si="7"/>
        <v>2.0212499999999998</v>
      </c>
      <c r="K101" s="655">
        <f>SUM($J$2:J101)</f>
        <v>1033.6791666666668</v>
      </c>
      <c r="L101" s="655">
        <f t="shared" si="8"/>
        <v>6283.6791666666668</v>
      </c>
    </row>
    <row r="102" spans="6:12" x14ac:dyDescent="0.25">
      <c r="F102">
        <f t="shared" si="5"/>
        <v>8</v>
      </c>
      <c r="G102">
        <v>101</v>
      </c>
      <c r="H102" s="655">
        <f t="shared" si="9"/>
        <v>1050</v>
      </c>
      <c r="I102" s="655">
        <f t="shared" si="6"/>
        <v>5302.5</v>
      </c>
      <c r="J102" s="655">
        <f t="shared" si="7"/>
        <v>1.925</v>
      </c>
      <c r="K102" s="655">
        <f>SUM($J$2:J102)</f>
        <v>1035.6041666666667</v>
      </c>
      <c r="L102" s="655">
        <f t="shared" si="8"/>
        <v>6338.104166666667</v>
      </c>
    </row>
    <row r="103" spans="6:12" x14ac:dyDescent="0.25">
      <c r="F103">
        <f t="shared" si="5"/>
        <v>8</v>
      </c>
      <c r="G103">
        <v>102</v>
      </c>
      <c r="H103" s="655">
        <f t="shared" si="9"/>
        <v>997.5</v>
      </c>
      <c r="I103" s="655">
        <f t="shared" si="6"/>
        <v>5355</v>
      </c>
      <c r="J103" s="655">
        <f t="shared" si="7"/>
        <v>1.8287499999999999</v>
      </c>
      <c r="K103" s="655">
        <f>SUM($J$2:J103)</f>
        <v>1037.4329166666666</v>
      </c>
      <c r="L103" s="655">
        <f t="shared" si="8"/>
        <v>6392.4329166666666</v>
      </c>
    </row>
    <row r="104" spans="6:12" x14ac:dyDescent="0.25">
      <c r="F104">
        <f t="shared" si="5"/>
        <v>8</v>
      </c>
      <c r="G104">
        <v>103</v>
      </c>
      <c r="H104" s="655">
        <f t="shared" si="9"/>
        <v>945</v>
      </c>
      <c r="I104" s="655">
        <f t="shared" si="6"/>
        <v>5407.5</v>
      </c>
      <c r="J104" s="655">
        <f t="shared" si="7"/>
        <v>1.7324999999999999</v>
      </c>
      <c r="K104" s="655">
        <f>SUM($J$2:J104)</f>
        <v>1039.1654166666667</v>
      </c>
      <c r="L104" s="655">
        <f t="shared" si="8"/>
        <v>6446.6654166666667</v>
      </c>
    </row>
    <row r="105" spans="6:12" x14ac:dyDescent="0.25">
      <c r="F105">
        <f t="shared" si="5"/>
        <v>8</v>
      </c>
      <c r="G105">
        <v>104</v>
      </c>
      <c r="H105" s="655">
        <f t="shared" si="9"/>
        <v>892.5</v>
      </c>
      <c r="I105" s="655">
        <f t="shared" si="6"/>
        <v>5460</v>
      </c>
      <c r="J105" s="655">
        <f t="shared" si="7"/>
        <v>1.63625</v>
      </c>
      <c r="K105" s="655">
        <f>SUM($J$2:J105)</f>
        <v>1040.8016666666667</v>
      </c>
      <c r="L105" s="655">
        <f t="shared" si="8"/>
        <v>6500.8016666666663</v>
      </c>
    </row>
    <row r="106" spans="6:12" x14ac:dyDescent="0.25">
      <c r="F106">
        <f t="shared" si="5"/>
        <v>8</v>
      </c>
      <c r="G106">
        <v>105</v>
      </c>
      <c r="H106" s="655">
        <f t="shared" si="9"/>
        <v>840</v>
      </c>
      <c r="I106" s="655">
        <f t="shared" si="6"/>
        <v>5512.5</v>
      </c>
      <c r="J106" s="655">
        <f t="shared" si="7"/>
        <v>1.54</v>
      </c>
      <c r="K106" s="655">
        <f>SUM($J$2:J106)</f>
        <v>1042.3416666666667</v>
      </c>
      <c r="L106" s="655">
        <f t="shared" si="8"/>
        <v>6554.8416666666672</v>
      </c>
    </row>
    <row r="107" spans="6:12" x14ac:dyDescent="0.25">
      <c r="F107">
        <f t="shared" si="5"/>
        <v>8</v>
      </c>
      <c r="G107">
        <v>106</v>
      </c>
      <c r="H107" s="655">
        <f t="shared" si="9"/>
        <v>787.5</v>
      </c>
      <c r="I107" s="655">
        <f t="shared" si="6"/>
        <v>5565</v>
      </c>
      <c r="J107" s="655">
        <f t="shared" si="7"/>
        <v>1.4437499999999999</v>
      </c>
      <c r="K107" s="655">
        <f>SUM($J$2:J107)</f>
        <v>1043.7854166666666</v>
      </c>
      <c r="L107" s="655">
        <f t="shared" si="8"/>
        <v>6608.7854166666666</v>
      </c>
    </row>
    <row r="108" spans="6:12" x14ac:dyDescent="0.25">
      <c r="F108">
        <f t="shared" si="5"/>
        <v>8</v>
      </c>
      <c r="G108">
        <v>107</v>
      </c>
      <c r="H108" s="655">
        <f t="shared" si="9"/>
        <v>735</v>
      </c>
      <c r="I108" s="655">
        <f t="shared" si="6"/>
        <v>5617.5</v>
      </c>
      <c r="J108" s="655">
        <f t="shared" si="7"/>
        <v>1.3474999999999999</v>
      </c>
      <c r="K108" s="655">
        <f>SUM($J$2:J108)</f>
        <v>1045.1329166666667</v>
      </c>
      <c r="L108" s="655">
        <f t="shared" si="8"/>
        <v>6662.6329166666665</v>
      </c>
    </row>
    <row r="109" spans="6:12" x14ac:dyDescent="0.25">
      <c r="F109">
        <f t="shared" si="5"/>
        <v>9</v>
      </c>
      <c r="G109">
        <v>108</v>
      </c>
      <c r="H109" s="655">
        <f t="shared" si="9"/>
        <v>682.5</v>
      </c>
      <c r="I109" s="655">
        <f t="shared" si="6"/>
        <v>5670</v>
      </c>
      <c r="J109" s="655">
        <f t="shared" si="7"/>
        <v>1.25125</v>
      </c>
      <c r="K109" s="655">
        <f>SUM($J$2:J109)</f>
        <v>1046.3841666666667</v>
      </c>
      <c r="L109" s="655">
        <f t="shared" si="8"/>
        <v>6716.3841666666667</v>
      </c>
    </row>
    <row r="110" spans="6:12" x14ac:dyDescent="0.25">
      <c r="F110">
        <f t="shared" si="5"/>
        <v>9</v>
      </c>
      <c r="G110">
        <v>109</v>
      </c>
      <c r="H110" s="655">
        <f t="shared" si="9"/>
        <v>630</v>
      </c>
      <c r="I110" s="655">
        <f t="shared" si="6"/>
        <v>5722.5</v>
      </c>
      <c r="J110" s="655">
        <f t="shared" si="7"/>
        <v>1.155</v>
      </c>
      <c r="K110" s="655">
        <f>SUM($J$2:J110)</f>
        <v>1047.5391666666667</v>
      </c>
      <c r="L110" s="655">
        <f t="shared" si="8"/>
        <v>6770.0391666666665</v>
      </c>
    </row>
    <row r="111" spans="6:12" x14ac:dyDescent="0.25">
      <c r="F111">
        <f t="shared" si="5"/>
        <v>9</v>
      </c>
      <c r="G111">
        <v>110</v>
      </c>
      <c r="H111" s="655">
        <f t="shared" si="9"/>
        <v>577.5</v>
      </c>
      <c r="I111" s="655">
        <f t="shared" si="6"/>
        <v>5775</v>
      </c>
      <c r="J111" s="655">
        <f t="shared" si="7"/>
        <v>1.0587500000000001</v>
      </c>
      <c r="K111" s="655">
        <f>SUM($J$2:J111)</f>
        <v>1048.5979166666666</v>
      </c>
      <c r="L111" s="655">
        <f t="shared" si="8"/>
        <v>6823.5979166666666</v>
      </c>
    </row>
    <row r="112" spans="6:12" x14ac:dyDescent="0.25">
      <c r="F112">
        <f t="shared" si="5"/>
        <v>9</v>
      </c>
      <c r="G112">
        <v>111</v>
      </c>
      <c r="H112" s="655">
        <f t="shared" si="9"/>
        <v>525</v>
      </c>
      <c r="I112" s="655">
        <f t="shared" si="6"/>
        <v>5827.5</v>
      </c>
      <c r="J112" s="655">
        <f t="shared" si="7"/>
        <v>0.96250000000000002</v>
      </c>
      <c r="K112" s="655">
        <f>SUM($J$2:J112)</f>
        <v>1049.5604166666667</v>
      </c>
      <c r="L112" s="655">
        <f t="shared" si="8"/>
        <v>6877.0604166666672</v>
      </c>
    </row>
    <row r="113" spans="6:12" x14ac:dyDescent="0.25">
      <c r="F113">
        <f t="shared" si="5"/>
        <v>9</v>
      </c>
      <c r="G113">
        <v>112</v>
      </c>
      <c r="H113" s="655">
        <f t="shared" si="9"/>
        <v>472.5</v>
      </c>
      <c r="I113" s="655">
        <f t="shared" si="6"/>
        <v>5880</v>
      </c>
      <c r="J113" s="655">
        <f t="shared" si="7"/>
        <v>0.86624999999999996</v>
      </c>
      <c r="K113" s="655">
        <f>SUM($J$2:J113)</f>
        <v>1050.4266666666667</v>
      </c>
      <c r="L113" s="655">
        <f t="shared" si="8"/>
        <v>6930.4266666666663</v>
      </c>
    </row>
    <row r="114" spans="6:12" x14ac:dyDescent="0.25">
      <c r="F114">
        <f t="shared" si="5"/>
        <v>9</v>
      </c>
      <c r="G114">
        <v>113</v>
      </c>
      <c r="H114" s="655">
        <f t="shared" si="9"/>
        <v>420</v>
      </c>
      <c r="I114" s="655">
        <f t="shared" si="6"/>
        <v>5932.5</v>
      </c>
      <c r="J114" s="655">
        <f t="shared" si="7"/>
        <v>0.77</v>
      </c>
      <c r="K114" s="655">
        <f>SUM($J$2:J114)</f>
        <v>1051.1966666666667</v>
      </c>
      <c r="L114" s="655">
        <f t="shared" si="8"/>
        <v>6983.6966666666667</v>
      </c>
    </row>
    <row r="115" spans="6:12" x14ac:dyDescent="0.25">
      <c r="F115">
        <f t="shared" si="5"/>
        <v>9</v>
      </c>
      <c r="G115">
        <v>114</v>
      </c>
      <c r="H115" s="655">
        <f t="shared" si="9"/>
        <v>367.5</v>
      </c>
      <c r="I115" s="655">
        <f t="shared" si="6"/>
        <v>5985</v>
      </c>
      <c r="J115" s="655">
        <f t="shared" si="7"/>
        <v>0.67374999999999996</v>
      </c>
      <c r="K115" s="655">
        <f>SUM($J$2:J115)</f>
        <v>1051.8704166666666</v>
      </c>
      <c r="L115" s="655">
        <f t="shared" si="8"/>
        <v>7036.8704166666666</v>
      </c>
    </row>
    <row r="116" spans="6:12" x14ac:dyDescent="0.25">
      <c r="F116">
        <f t="shared" si="5"/>
        <v>9</v>
      </c>
      <c r="G116">
        <v>115</v>
      </c>
      <c r="H116" s="655">
        <f t="shared" si="9"/>
        <v>315</v>
      </c>
      <c r="I116" s="655">
        <f t="shared" si="6"/>
        <v>6037.5</v>
      </c>
      <c r="J116" s="655">
        <f t="shared" si="7"/>
        <v>0.57750000000000001</v>
      </c>
      <c r="K116" s="655">
        <f>SUM($J$2:J116)</f>
        <v>1052.4479166666667</v>
      </c>
      <c r="L116" s="655">
        <f t="shared" si="8"/>
        <v>7089.947916666667</v>
      </c>
    </row>
    <row r="117" spans="6:12" x14ac:dyDescent="0.25">
      <c r="F117">
        <f t="shared" si="5"/>
        <v>9</v>
      </c>
      <c r="G117">
        <v>116</v>
      </c>
      <c r="H117" s="655">
        <f t="shared" si="9"/>
        <v>262.5</v>
      </c>
      <c r="I117" s="655">
        <f t="shared" si="6"/>
        <v>6090</v>
      </c>
      <c r="J117" s="655">
        <f t="shared" si="7"/>
        <v>0.48125000000000001</v>
      </c>
      <c r="K117" s="655">
        <f>SUM($J$2:J117)</f>
        <v>1052.9291666666668</v>
      </c>
      <c r="L117" s="655">
        <f t="shared" si="8"/>
        <v>7142.9291666666668</v>
      </c>
    </row>
    <row r="118" spans="6:12" x14ac:dyDescent="0.25">
      <c r="F118">
        <f t="shared" si="5"/>
        <v>9</v>
      </c>
      <c r="G118">
        <v>117</v>
      </c>
      <c r="H118" s="655">
        <f t="shared" si="9"/>
        <v>210</v>
      </c>
      <c r="I118" s="655">
        <f t="shared" si="6"/>
        <v>6142.5</v>
      </c>
      <c r="J118" s="655">
        <f t="shared" si="7"/>
        <v>0.38500000000000001</v>
      </c>
      <c r="K118" s="655">
        <f>SUM($J$2:J118)</f>
        <v>1053.3141666666668</v>
      </c>
      <c r="L118" s="655">
        <f t="shared" si="8"/>
        <v>7195.814166666667</v>
      </c>
    </row>
    <row r="119" spans="6:12" x14ac:dyDescent="0.25">
      <c r="F119">
        <f t="shared" si="5"/>
        <v>9</v>
      </c>
      <c r="G119">
        <v>118</v>
      </c>
      <c r="H119" s="655">
        <f t="shared" si="9"/>
        <v>157.5</v>
      </c>
      <c r="I119" s="655">
        <f t="shared" si="6"/>
        <v>6195</v>
      </c>
      <c r="J119" s="655">
        <f t="shared" si="7"/>
        <v>0.28875000000000001</v>
      </c>
      <c r="K119" s="655">
        <f>SUM($J$2:J119)</f>
        <v>1053.6029166666667</v>
      </c>
      <c r="L119" s="655">
        <f t="shared" si="8"/>
        <v>7248.6029166666667</v>
      </c>
    </row>
    <row r="120" spans="6:12" x14ac:dyDescent="0.25">
      <c r="F120">
        <f t="shared" si="5"/>
        <v>9</v>
      </c>
      <c r="G120">
        <v>119</v>
      </c>
      <c r="H120" s="655">
        <f t="shared" si="9"/>
        <v>105</v>
      </c>
      <c r="I120" s="655">
        <f t="shared" si="6"/>
        <v>6247.5</v>
      </c>
      <c r="J120" s="655">
        <f t="shared" si="7"/>
        <v>0.1925</v>
      </c>
      <c r="K120" s="655">
        <f>SUM($J$2:J120)</f>
        <v>1053.7954166666668</v>
      </c>
      <c r="L120" s="655">
        <f t="shared" si="8"/>
        <v>7301.2954166666668</v>
      </c>
    </row>
    <row r="121" spans="6:12" x14ac:dyDescent="0.25">
      <c r="F121">
        <f t="shared" si="5"/>
        <v>10</v>
      </c>
      <c r="G121">
        <v>120</v>
      </c>
      <c r="H121" s="655">
        <f t="shared" si="9"/>
        <v>52.5</v>
      </c>
      <c r="I121" s="655">
        <f t="shared" si="6"/>
        <v>6300</v>
      </c>
      <c r="J121" s="655">
        <f t="shared" si="7"/>
        <v>9.6250000000000002E-2</v>
      </c>
      <c r="K121" s="655">
        <f>SUM($J$2:J121)</f>
        <v>1053.8916666666669</v>
      </c>
      <c r="L121" s="655">
        <f t="shared" si="8"/>
        <v>7353.8916666666664</v>
      </c>
    </row>
    <row r="122" spans="6:12" x14ac:dyDescent="0.25">
      <c r="F122">
        <f t="shared" si="5"/>
        <v>10</v>
      </c>
      <c r="G122">
        <v>121</v>
      </c>
      <c r="H122" s="655">
        <f t="shared" si="9"/>
        <v>0</v>
      </c>
      <c r="I122" s="655">
        <f t="shared" si="6"/>
        <v>6352.5</v>
      </c>
      <c r="J122" s="655">
        <f t="shared" si="7"/>
        <v>0</v>
      </c>
      <c r="K122" s="655">
        <f>SUM($J$2:J122)</f>
        <v>1053.8916666666669</v>
      </c>
      <c r="L122" s="655">
        <f t="shared" si="8"/>
        <v>7406.3916666666664</v>
      </c>
    </row>
    <row r="123" spans="6:12" x14ac:dyDescent="0.25">
      <c r="F123">
        <f t="shared" si="5"/>
        <v>10</v>
      </c>
      <c r="G123">
        <v>122</v>
      </c>
      <c r="H123" s="655">
        <f t="shared" si="9"/>
        <v>-52.5</v>
      </c>
      <c r="I123" s="655">
        <f t="shared" si="6"/>
        <v>6405</v>
      </c>
      <c r="J123" s="655">
        <f t="shared" si="7"/>
        <v>-9.6250000000000002E-2</v>
      </c>
      <c r="K123" s="655">
        <f>SUM($J$2:J123)</f>
        <v>1053.7954166666668</v>
      </c>
      <c r="L123" s="655">
        <f t="shared" si="8"/>
        <v>7458.7954166666668</v>
      </c>
    </row>
    <row r="124" spans="6:12" x14ac:dyDescent="0.25">
      <c r="F124">
        <f t="shared" si="5"/>
        <v>10</v>
      </c>
      <c r="G124">
        <v>123</v>
      </c>
      <c r="H124" s="655">
        <f t="shared" si="9"/>
        <v>-105</v>
      </c>
      <c r="I124" s="655">
        <f t="shared" si="6"/>
        <v>6457.5</v>
      </c>
      <c r="J124" s="655">
        <f t="shared" si="7"/>
        <v>-0.1925</v>
      </c>
      <c r="K124" s="655">
        <f>SUM($J$2:J124)</f>
        <v>1053.6029166666667</v>
      </c>
      <c r="L124" s="655">
        <f t="shared" si="8"/>
        <v>7511.1029166666667</v>
      </c>
    </row>
    <row r="125" spans="6:12" x14ac:dyDescent="0.25">
      <c r="F125">
        <f t="shared" si="5"/>
        <v>10</v>
      </c>
      <c r="G125">
        <v>124</v>
      </c>
      <c r="H125" s="655">
        <f t="shared" si="9"/>
        <v>-157.5</v>
      </c>
      <c r="I125" s="655">
        <f t="shared" si="6"/>
        <v>6510</v>
      </c>
      <c r="J125" s="655">
        <f t="shared" si="7"/>
        <v>-0.28875000000000001</v>
      </c>
      <c r="K125" s="655">
        <f>SUM($J$2:J125)</f>
        <v>1053.3141666666668</v>
      </c>
      <c r="L125" s="655">
        <f t="shared" si="8"/>
        <v>7563.314166666667</v>
      </c>
    </row>
    <row r="126" spans="6:12" x14ac:dyDescent="0.25">
      <c r="F126">
        <f t="shared" si="5"/>
        <v>10</v>
      </c>
      <c r="G126">
        <v>125</v>
      </c>
      <c r="H126" s="655">
        <f t="shared" si="9"/>
        <v>-210</v>
      </c>
      <c r="I126" s="655">
        <f t="shared" si="6"/>
        <v>6562.5</v>
      </c>
      <c r="J126" s="655">
        <f t="shared" si="7"/>
        <v>-0.38500000000000001</v>
      </c>
      <c r="K126" s="655">
        <f>SUM($J$2:J126)</f>
        <v>1052.9291666666668</v>
      </c>
      <c r="L126" s="655">
        <f t="shared" si="8"/>
        <v>7615.4291666666668</v>
      </c>
    </row>
    <row r="127" spans="6:12" x14ac:dyDescent="0.25">
      <c r="F127">
        <f t="shared" si="5"/>
        <v>10</v>
      </c>
      <c r="G127">
        <v>126</v>
      </c>
      <c r="H127" s="655">
        <f t="shared" si="9"/>
        <v>-262.5</v>
      </c>
      <c r="I127" s="655">
        <f t="shared" si="6"/>
        <v>6615</v>
      </c>
      <c r="J127" s="655">
        <f t="shared" si="7"/>
        <v>-0.48125000000000001</v>
      </c>
      <c r="K127" s="655">
        <f>SUM($J$2:J127)</f>
        <v>1052.4479166666667</v>
      </c>
      <c r="L127" s="655">
        <f t="shared" si="8"/>
        <v>7667.447916666667</v>
      </c>
    </row>
    <row r="128" spans="6:12" x14ac:dyDescent="0.25">
      <c r="F128">
        <f t="shared" si="5"/>
        <v>10</v>
      </c>
      <c r="G128">
        <v>127</v>
      </c>
      <c r="H128" s="655">
        <f t="shared" si="9"/>
        <v>-315</v>
      </c>
      <c r="I128" s="655">
        <f t="shared" si="6"/>
        <v>6667.5</v>
      </c>
      <c r="J128" s="655">
        <f t="shared" si="7"/>
        <v>-0.57750000000000001</v>
      </c>
      <c r="K128" s="655">
        <f>SUM($J$2:J128)</f>
        <v>1051.8704166666666</v>
      </c>
      <c r="L128" s="655">
        <f t="shared" si="8"/>
        <v>7719.3704166666666</v>
      </c>
    </row>
    <row r="129" spans="6:12" x14ac:dyDescent="0.25">
      <c r="F129">
        <f t="shared" si="5"/>
        <v>10</v>
      </c>
      <c r="G129">
        <v>128</v>
      </c>
      <c r="H129" s="655">
        <f t="shared" si="9"/>
        <v>-367.5</v>
      </c>
      <c r="I129" s="655">
        <f t="shared" si="6"/>
        <v>6720</v>
      </c>
      <c r="J129" s="655">
        <f t="shared" si="7"/>
        <v>-0.67374999999999996</v>
      </c>
      <c r="K129" s="655">
        <f>SUM($J$2:J129)</f>
        <v>1051.1966666666667</v>
      </c>
      <c r="L129" s="655">
        <f t="shared" si="8"/>
        <v>7771.1966666666667</v>
      </c>
    </row>
    <row r="130" spans="6:12" x14ac:dyDescent="0.25">
      <c r="F130">
        <f t="shared" si="5"/>
        <v>10</v>
      </c>
      <c r="G130">
        <v>129</v>
      </c>
      <c r="H130" s="655">
        <f t="shared" si="9"/>
        <v>-420</v>
      </c>
      <c r="I130" s="655">
        <f t="shared" si="6"/>
        <v>6772.5</v>
      </c>
      <c r="J130" s="655">
        <f t="shared" si="7"/>
        <v>-0.77</v>
      </c>
      <c r="K130" s="655">
        <f>SUM($J$2:J130)</f>
        <v>1050.4266666666667</v>
      </c>
      <c r="L130" s="655">
        <f t="shared" si="8"/>
        <v>7822.9266666666663</v>
      </c>
    </row>
    <row r="131" spans="6:12" x14ac:dyDescent="0.25">
      <c r="F131">
        <f t="shared" ref="F131:F194" si="10">QUOTIENT(G131,12)</f>
        <v>10</v>
      </c>
      <c r="G131">
        <v>130</v>
      </c>
      <c r="H131" s="655">
        <f t="shared" si="9"/>
        <v>-472.5</v>
      </c>
      <c r="I131" s="655">
        <f t="shared" ref="I131:I194" si="11">G131*$D$9</f>
        <v>6825</v>
      </c>
      <c r="J131" s="655">
        <f t="shared" ref="J131:J194" si="12">H131*$D$11</f>
        <v>-0.86624999999999996</v>
      </c>
      <c r="K131" s="655">
        <f>SUM($J$2:J131)</f>
        <v>1049.5604166666667</v>
      </c>
      <c r="L131" s="655">
        <f t="shared" ref="L131:L194" si="13">I131+K131</f>
        <v>7874.5604166666672</v>
      </c>
    </row>
    <row r="132" spans="6:12" x14ac:dyDescent="0.25">
      <c r="F132">
        <f t="shared" si="10"/>
        <v>10</v>
      </c>
      <c r="G132">
        <v>131</v>
      </c>
      <c r="H132" s="655">
        <f t="shared" ref="H132:H195" si="14">$D$6-I131</f>
        <v>-525</v>
      </c>
      <c r="I132" s="655">
        <f t="shared" si="11"/>
        <v>6877.5</v>
      </c>
      <c r="J132" s="655">
        <f t="shared" si="12"/>
        <v>-0.96250000000000002</v>
      </c>
      <c r="K132" s="655">
        <f>SUM($J$2:J132)</f>
        <v>1048.5979166666666</v>
      </c>
      <c r="L132" s="655">
        <f t="shared" si="13"/>
        <v>7926.0979166666666</v>
      </c>
    </row>
    <row r="133" spans="6:12" x14ac:dyDescent="0.25">
      <c r="F133">
        <f t="shared" si="10"/>
        <v>11</v>
      </c>
      <c r="G133">
        <v>132</v>
      </c>
      <c r="H133" s="655">
        <f t="shared" si="14"/>
        <v>-577.5</v>
      </c>
      <c r="I133" s="655">
        <f t="shared" si="11"/>
        <v>6930</v>
      </c>
      <c r="J133" s="655">
        <f t="shared" si="12"/>
        <v>-1.0587500000000001</v>
      </c>
      <c r="K133" s="655">
        <f>SUM($J$2:J133)</f>
        <v>1047.5391666666667</v>
      </c>
      <c r="L133" s="655">
        <f t="shared" si="13"/>
        <v>7977.5391666666665</v>
      </c>
    </row>
    <row r="134" spans="6:12" x14ac:dyDescent="0.25">
      <c r="F134">
        <f t="shared" si="10"/>
        <v>11</v>
      </c>
      <c r="G134">
        <v>133</v>
      </c>
      <c r="H134" s="655">
        <f t="shared" si="14"/>
        <v>-630</v>
      </c>
      <c r="I134" s="655">
        <f t="shared" si="11"/>
        <v>6982.5</v>
      </c>
      <c r="J134" s="655">
        <f t="shared" si="12"/>
        <v>-1.155</v>
      </c>
      <c r="K134" s="655">
        <f>SUM($J$2:J134)</f>
        <v>1046.3841666666667</v>
      </c>
      <c r="L134" s="655">
        <f t="shared" si="13"/>
        <v>8028.8841666666667</v>
      </c>
    </row>
    <row r="135" spans="6:12" x14ac:dyDescent="0.25">
      <c r="F135">
        <f t="shared" si="10"/>
        <v>11</v>
      </c>
      <c r="G135">
        <v>134</v>
      </c>
      <c r="H135" s="655">
        <f t="shared" si="14"/>
        <v>-682.5</v>
      </c>
      <c r="I135" s="655">
        <f t="shared" si="11"/>
        <v>7035</v>
      </c>
      <c r="J135" s="655">
        <f t="shared" si="12"/>
        <v>-1.25125</v>
      </c>
      <c r="K135" s="655">
        <f>SUM($J$2:J135)</f>
        <v>1045.1329166666667</v>
      </c>
      <c r="L135" s="655">
        <f t="shared" si="13"/>
        <v>8080.1329166666665</v>
      </c>
    </row>
    <row r="136" spans="6:12" x14ac:dyDescent="0.25">
      <c r="F136">
        <f t="shared" si="10"/>
        <v>11</v>
      </c>
      <c r="G136">
        <v>135</v>
      </c>
      <c r="H136" s="655">
        <f t="shared" si="14"/>
        <v>-735</v>
      </c>
      <c r="I136" s="655">
        <f t="shared" si="11"/>
        <v>7087.5</v>
      </c>
      <c r="J136" s="655">
        <f t="shared" si="12"/>
        <v>-1.3474999999999999</v>
      </c>
      <c r="K136" s="655">
        <f>SUM($J$2:J136)</f>
        <v>1043.7854166666666</v>
      </c>
      <c r="L136" s="655">
        <f t="shared" si="13"/>
        <v>8131.2854166666666</v>
      </c>
    </row>
    <row r="137" spans="6:12" x14ac:dyDescent="0.25">
      <c r="F137">
        <f t="shared" si="10"/>
        <v>11</v>
      </c>
      <c r="G137">
        <v>136</v>
      </c>
      <c r="H137" s="655">
        <f t="shared" si="14"/>
        <v>-787.5</v>
      </c>
      <c r="I137" s="655">
        <f t="shared" si="11"/>
        <v>7140</v>
      </c>
      <c r="J137" s="655">
        <f t="shared" si="12"/>
        <v>-1.4437499999999999</v>
      </c>
      <c r="K137" s="655">
        <f>SUM($J$2:J137)</f>
        <v>1042.3416666666667</v>
      </c>
      <c r="L137" s="655">
        <f t="shared" si="13"/>
        <v>8182.3416666666672</v>
      </c>
    </row>
    <row r="138" spans="6:12" x14ac:dyDescent="0.25">
      <c r="F138">
        <f t="shared" si="10"/>
        <v>11</v>
      </c>
      <c r="G138">
        <v>137</v>
      </c>
      <c r="H138" s="655">
        <f t="shared" si="14"/>
        <v>-840</v>
      </c>
      <c r="I138" s="655">
        <f t="shared" si="11"/>
        <v>7192.5</v>
      </c>
      <c r="J138" s="655">
        <f t="shared" si="12"/>
        <v>-1.54</v>
      </c>
      <c r="K138" s="655">
        <f>SUM($J$2:J138)</f>
        <v>1040.8016666666667</v>
      </c>
      <c r="L138" s="655">
        <f t="shared" si="13"/>
        <v>8233.3016666666663</v>
      </c>
    </row>
    <row r="139" spans="6:12" x14ac:dyDescent="0.25">
      <c r="F139">
        <f t="shared" si="10"/>
        <v>11</v>
      </c>
      <c r="G139">
        <v>138</v>
      </c>
      <c r="H139" s="655">
        <f t="shared" si="14"/>
        <v>-892.5</v>
      </c>
      <c r="I139" s="655">
        <f t="shared" si="11"/>
        <v>7245</v>
      </c>
      <c r="J139" s="655">
        <f t="shared" si="12"/>
        <v>-1.63625</v>
      </c>
      <c r="K139" s="655">
        <f>SUM($J$2:J139)</f>
        <v>1039.1654166666667</v>
      </c>
      <c r="L139" s="655">
        <f t="shared" si="13"/>
        <v>8284.1654166666667</v>
      </c>
    </row>
    <row r="140" spans="6:12" x14ac:dyDescent="0.25">
      <c r="F140">
        <f t="shared" si="10"/>
        <v>11</v>
      </c>
      <c r="G140">
        <v>139</v>
      </c>
      <c r="H140" s="655">
        <f t="shared" si="14"/>
        <v>-945</v>
      </c>
      <c r="I140" s="655">
        <f t="shared" si="11"/>
        <v>7297.5</v>
      </c>
      <c r="J140" s="655">
        <f t="shared" si="12"/>
        <v>-1.7324999999999999</v>
      </c>
      <c r="K140" s="655">
        <f>SUM($J$2:J140)</f>
        <v>1037.4329166666666</v>
      </c>
      <c r="L140" s="655">
        <f t="shared" si="13"/>
        <v>8334.9329166666666</v>
      </c>
    </row>
    <row r="141" spans="6:12" x14ac:dyDescent="0.25">
      <c r="F141">
        <f t="shared" si="10"/>
        <v>11</v>
      </c>
      <c r="G141">
        <v>140</v>
      </c>
      <c r="H141" s="655">
        <f t="shared" si="14"/>
        <v>-997.5</v>
      </c>
      <c r="I141" s="655">
        <f t="shared" si="11"/>
        <v>7350</v>
      </c>
      <c r="J141" s="655">
        <f t="shared" si="12"/>
        <v>-1.8287499999999999</v>
      </c>
      <c r="K141" s="655">
        <f>SUM($J$2:J141)</f>
        <v>1035.6041666666667</v>
      </c>
      <c r="L141" s="655">
        <f t="shared" si="13"/>
        <v>8385.6041666666661</v>
      </c>
    </row>
    <row r="142" spans="6:12" x14ac:dyDescent="0.25">
      <c r="F142">
        <f t="shared" si="10"/>
        <v>11</v>
      </c>
      <c r="G142">
        <v>141</v>
      </c>
      <c r="H142" s="655">
        <f t="shared" si="14"/>
        <v>-1050</v>
      </c>
      <c r="I142" s="655">
        <f t="shared" si="11"/>
        <v>7402.5</v>
      </c>
      <c r="J142" s="655">
        <f t="shared" si="12"/>
        <v>-1.925</v>
      </c>
      <c r="K142" s="655">
        <f>SUM($J$2:J142)</f>
        <v>1033.6791666666668</v>
      </c>
      <c r="L142" s="655">
        <f t="shared" si="13"/>
        <v>8436.1791666666668</v>
      </c>
    </row>
    <row r="143" spans="6:12" x14ac:dyDescent="0.25">
      <c r="F143">
        <f t="shared" si="10"/>
        <v>11</v>
      </c>
      <c r="G143">
        <v>142</v>
      </c>
      <c r="H143" s="655">
        <f t="shared" si="14"/>
        <v>-1102.5</v>
      </c>
      <c r="I143" s="655">
        <f t="shared" si="11"/>
        <v>7455</v>
      </c>
      <c r="J143" s="655">
        <f t="shared" si="12"/>
        <v>-2.0212499999999998</v>
      </c>
      <c r="K143" s="655">
        <f>SUM($J$2:J143)</f>
        <v>1031.6579166666668</v>
      </c>
      <c r="L143" s="655">
        <f t="shared" si="13"/>
        <v>8486.657916666667</v>
      </c>
    </row>
    <row r="144" spans="6:12" x14ac:dyDescent="0.25">
      <c r="F144">
        <f t="shared" si="10"/>
        <v>11</v>
      </c>
      <c r="G144">
        <v>143</v>
      </c>
      <c r="H144" s="655">
        <f t="shared" si="14"/>
        <v>-1155</v>
      </c>
      <c r="I144" s="655">
        <f t="shared" si="11"/>
        <v>7507.5</v>
      </c>
      <c r="J144" s="655">
        <f t="shared" si="12"/>
        <v>-2.1175000000000002</v>
      </c>
      <c r="K144" s="655">
        <f>SUM($J$2:J144)</f>
        <v>1029.5404166666667</v>
      </c>
      <c r="L144" s="655">
        <f t="shared" si="13"/>
        <v>8537.0404166666667</v>
      </c>
    </row>
    <row r="145" spans="6:12" x14ac:dyDescent="0.25">
      <c r="F145">
        <f t="shared" si="10"/>
        <v>12</v>
      </c>
      <c r="G145">
        <v>144</v>
      </c>
      <c r="H145" s="655">
        <f t="shared" si="14"/>
        <v>-1207.5</v>
      </c>
      <c r="I145" s="655">
        <f t="shared" si="11"/>
        <v>7560</v>
      </c>
      <c r="J145" s="655">
        <f t="shared" si="12"/>
        <v>-2.2137500000000001</v>
      </c>
      <c r="K145" s="655">
        <f>SUM($J$2:J145)</f>
        <v>1027.3266666666668</v>
      </c>
      <c r="L145" s="655">
        <f t="shared" si="13"/>
        <v>8587.3266666666677</v>
      </c>
    </row>
    <row r="146" spans="6:12" x14ac:dyDescent="0.25">
      <c r="F146">
        <f t="shared" si="10"/>
        <v>12</v>
      </c>
      <c r="G146">
        <v>145</v>
      </c>
      <c r="H146" s="655">
        <f t="shared" si="14"/>
        <v>-1260</v>
      </c>
      <c r="I146" s="655">
        <f t="shared" si="11"/>
        <v>7612.5</v>
      </c>
      <c r="J146" s="655">
        <f t="shared" si="12"/>
        <v>-2.31</v>
      </c>
      <c r="K146" s="655">
        <f>SUM($J$2:J146)</f>
        <v>1025.0166666666669</v>
      </c>
      <c r="L146" s="655">
        <f t="shared" si="13"/>
        <v>8637.5166666666664</v>
      </c>
    </row>
    <row r="147" spans="6:12" x14ac:dyDescent="0.25">
      <c r="F147">
        <f t="shared" si="10"/>
        <v>12</v>
      </c>
      <c r="G147">
        <v>146</v>
      </c>
      <c r="H147" s="655">
        <f t="shared" si="14"/>
        <v>-1312.5</v>
      </c>
      <c r="I147" s="655">
        <f t="shared" si="11"/>
        <v>7665</v>
      </c>
      <c r="J147" s="655">
        <f t="shared" si="12"/>
        <v>-2.40625</v>
      </c>
      <c r="K147" s="655">
        <f>SUM($J$2:J147)</f>
        <v>1022.6104166666669</v>
      </c>
      <c r="L147" s="655">
        <f t="shared" si="13"/>
        <v>8687.6104166666664</v>
      </c>
    </row>
    <row r="148" spans="6:12" x14ac:dyDescent="0.25">
      <c r="F148">
        <f t="shared" si="10"/>
        <v>12</v>
      </c>
      <c r="G148">
        <v>147</v>
      </c>
      <c r="H148" s="655">
        <f t="shared" si="14"/>
        <v>-1365</v>
      </c>
      <c r="I148" s="655">
        <f t="shared" si="11"/>
        <v>7717.5</v>
      </c>
      <c r="J148" s="655">
        <f t="shared" si="12"/>
        <v>-2.5024999999999999</v>
      </c>
      <c r="K148" s="655">
        <f>SUM($J$2:J148)</f>
        <v>1020.1079166666668</v>
      </c>
      <c r="L148" s="655">
        <f t="shared" si="13"/>
        <v>8737.6079166666677</v>
      </c>
    </row>
    <row r="149" spans="6:12" x14ac:dyDescent="0.25">
      <c r="F149">
        <f t="shared" si="10"/>
        <v>12</v>
      </c>
      <c r="G149">
        <v>148</v>
      </c>
      <c r="H149" s="655">
        <f t="shared" si="14"/>
        <v>-1417.5</v>
      </c>
      <c r="I149" s="655">
        <f t="shared" si="11"/>
        <v>7770</v>
      </c>
      <c r="J149" s="655">
        <f t="shared" si="12"/>
        <v>-2.5987499999999999</v>
      </c>
      <c r="K149" s="655">
        <f>SUM($J$2:J149)</f>
        <v>1017.5091666666668</v>
      </c>
      <c r="L149" s="655">
        <f t="shared" si="13"/>
        <v>8787.5091666666667</v>
      </c>
    </row>
    <row r="150" spans="6:12" x14ac:dyDescent="0.25">
      <c r="F150">
        <f t="shared" si="10"/>
        <v>12</v>
      </c>
      <c r="G150">
        <v>149</v>
      </c>
      <c r="H150" s="655">
        <f t="shared" si="14"/>
        <v>-1470</v>
      </c>
      <c r="I150" s="655">
        <f t="shared" si="11"/>
        <v>7822.5</v>
      </c>
      <c r="J150" s="655">
        <f t="shared" si="12"/>
        <v>-2.6949999999999998</v>
      </c>
      <c r="K150" s="655">
        <f>SUM($J$2:J150)</f>
        <v>1014.8141666666668</v>
      </c>
      <c r="L150" s="655">
        <f t="shared" si="13"/>
        <v>8837.314166666667</v>
      </c>
    </row>
    <row r="151" spans="6:12" x14ac:dyDescent="0.25">
      <c r="F151">
        <f t="shared" si="10"/>
        <v>12</v>
      </c>
      <c r="G151">
        <v>150</v>
      </c>
      <c r="H151" s="655">
        <f t="shared" si="14"/>
        <v>-1522.5</v>
      </c>
      <c r="I151" s="655">
        <f t="shared" si="11"/>
        <v>7875</v>
      </c>
      <c r="J151" s="655">
        <f t="shared" si="12"/>
        <v>-2.7912499999999998</v>
      </c>
      <c r="K151" s="655">
        <f>SUM($J$2:J151)</f>
        <v>1012.0229166666668</v>
      </c>
      <c r="L151" s="655">
        <f t="shared" si="13"/>
        <v>8887.0229166666668</v>
      </c>
    </row>
    <row r="152" spans="6:12" x14ac:dyDescent="0.25">
      <c r="F152">
        <f t="shared" si="10"/>
        <v>12</v>
      </c>
      <c r="G152">
        <v>151</v>
      </c>
      <c r="H152" s="655">
        <f t="shared" si="14"/>
        <v>-1575</v>
      </c>
      <c r="I152" s="655">
        <f t="shared" si="11"/>
        <v>7927.5</v>
      </c>
      <c r="J152" s="655">
        <f t="shared" si="12"/>
        <v>-2.8874999999999997</v>
      </c>
      <c r="K152" s="655">
        <f>SUM($J$2:J152)</f>
        <v>1009.1354166666667</v>
      </c>
      <c r="L152" s="655">
        <f t="shared" si="13"/>
        <v>8936.6354166666661</v>
      </c>
    </row>
    <row r="153" spans="6:12" x14ac:dyDescent="0.25">
      <c r="F153">
        <f t="shared" si="10"/>
        <v>12</v>
      </c>
      <c r="G153">
        <v>152</v>
      </c>
      <c r="H153" s="655">
        <f t="shared" si="14"/>
        <v>-1627.5</v>
      </c>
      <c r="I153" s="655">
        <f t="shared" si="11"/>
        <v>7980</v>
      </c>
      <c r="J153" s="655">
        <f t="shared" si="12"/>
        <v>-2.9837500000000001</v>
      </c>
      <c r="K153" s="655">
        <f>SUM($J$2:J153)</f>
        <v>1006.1516666666668</v>
      </c>
      <c r="L153" s="655">
        <f t="shared" si="13"/>
        <v>8986.1516666666666</v>
      </c>
    </row>
    <row r="154" spans="6:12" x14ac:dyDescent="0.25">
      <c r="F154">
        <f t="shared" si="10"/>
        <v>12</v>
      </c>
      <c r="G154">
        <v>153</v>
      </c>
      <c r="H154" s="655">
        <f t="shared" si="14"/>
        <v>-1680</v>
      </c>
      <c r="I154" s="655">
        <f t="shared" si="11"/>
        <v>8032.5</v>
      </c>
      <c r="J154" s="655">
        <f t="shared" si="12"/>
        <v>-3.08</v>
      </c>
      <c r="K154" s="655">
        <f>SUM($J$2:J154)</f>
        <v>1003.0716666666667</v>
      </c>
      <c r="L154" s="655">
        <f t="shared" si="13"/>
        <v>9035.5716666666667</v>
      </c>
    </row>
    <row r="155" spans="6:12" x14ac:dyDescent="0.25">
      <c r="F155">
        <f t="shared" si="10"/>
        <v>12</v>
      </c>
      <c r="G155">
        <v>154</v>
      </c>
      <c r="H155" s="655">
        <f t="shared" si="14"/>
        <v>-1732.5</v>
      </c>
      <c r="I155" s="655">
        <f t="shared" si="11"/>
        <v>8085</v>
      </c>
      <c r="J155" s="655">
        <f t="shared" si="12"/>
        <v>-3.17625</v>
      </c>
      <c r="K155" s="655">
        <f>SUM($J$2:J155)</f>
        <v>999.89541666666673</v>
      </c>
      <c r="L155" s="655">
        <f t="shared" si="13"/>
        <v>9084.8954166666663</v>
      </c>
    </row>
    <row r="156" spans="6:12" x14ac:dyDescent="0.25">
      <c r="F156">
        <f t="shared" si="10"/>
        <v>12</v>
      </c>
      <c r="G156">
        <v>155</v>
      </c>
      <c r="H156" s="655">
        <f t="shared" si="14"/>
        <v>-1785</v>
      </c>
      <c r="I156" s="655">
        <f t="shared" si="11"/>
        <v>8137.5</v>
      </c>
      <c r="J156" s="655">
        <f t="shared" si="12"/>
        <v>-3.2725</v>
      </c>
      <c r="K156" s="655">
        <f>SUM($J$2:J156)</f>
        <v>996.6229166666667</v>
      </c>
      <c r="L156" s="655">
        <f t="shared" si="13"/>
        <v>9134.1229166666672</v>
      </c>
    </row>
    <row r="157" spans="6:12" x14ac:dyDescent="0.25">
      <c r="F157">
        <f t="shared" si="10"/>
        <v>13</v>
      </c>
      <c r="G157">
        <v>156</v>
      </c>
      <c r="H157" s="655">
        <f t="shared" si="14"/>
        <v>-1837.5</v>
      </c>
      <c r="I157" s="655">
        <f t="shared" si="11"/>
        <v>8190</v>
      </c>
      <c r="J157" s="655">
        <f t="shared" si="12"/>
        <v>-3.3687499999999999</v>
      </c>
      <c r="K157" s="655">
        <f>SUM($J$2:J157)</f>
        <v>993.25416666666672</v>
      </c>
      <c r="L157" s="655">
        <f t="shared" si="13"/>
        <v>9183.2541666666675</v>
      </c>
    </row>
    <row r="158" spans="6:12" x14ac:dyDescent="0.25">
      <c r="F158">
        <f t="shared" si="10"/>
        <v>13</v>
      </c>
      <c r="G158">
        <v>157</v>
      </c>
      <c r="H158" s="655">
        <f t="shared" si="14"/>
        <v>-1890</v>
      </c>
      <c r="I158" s="655">
        <f t="shared" si="11"/>
        <v>8242.5</v>
      </c>
      <c r="J158" s="655">
        <f t="shared" si="12"/>
        <v>-3.4649999999999999</v>
      </c>
      <c r="K158" s="655">
        <f>SUM($J$2:J158)</f>
        <v>989.78916666666669</v>
      </c>
      <c r="L158" s="655">
        <f t="shared" si="13"/>
        <v>9232.2891666666674</v>
      </c>
    </row>
    <row r="159" spans="6:12" x14ac:dyDescent="0.25">
      <c r="F159">
        <f t="shared" si="10"/>
        <v>13</v>
      </c>
      <c r="G159">
        <v>158</v>
      </c>
      <c r="H159" s="655">
        <f t="shared" si="14"/>
        <v>-1942.5</v>
      </c>
      <c r="I159" s="655">
        <f t="shared" si="11"/>
        <v>8295</v>
      </c>
      <c r="J159" s="655">
        <f t="shared" si="12"/>
        <v>-3.5612499999999998</v>
      </c>
      <c r="K159" s="655">
        <f>SUM($J$2:J159)</f>
        <v>986.22791666666672</v>
      </c>
      <c r="L159" s="655">
        <f t="shared" si="13"/>
        <v>9281.2279166666667</v>
      </c>
    </row>
    <row r="160" spans="6:12" x14ac:dyDescent="0.25">
      <c r="F160">
        <f t="shared" si="10"/>
        <v>13</v>
      </c>
      <c r="G160">
        <v>159</v>
      </c>
      <c r="H160" s="655">
        <f t="shared" si="14"/>
        <v>-1995</v>
      </c>
      <c r="I160" s="655">
        <f t="shared" si="11"/>
        <v>8347.5</v>
      </c>
      <c r="J160" s="655">
        <f t="shared" si="12"/>
        <v>-3.6574999999999998</v>
      </c>
      <c r="K160" s="655">
        <f>SUM($J$2:J160)</f>
        <v>982.57041666666669</v>
      </c>
      <c r="L160" s="655">
        <f t="shared" si="13"/>
        <v>9330.0704166666674</v>
      </c>
    </row>
    <row r="161" spans="6:12" x14ac:dyDescent="0.25">
      <c r="F161">
        <f t="shared" si="10"/>
        <v>13</v>
      </c>
      <c r="G161">
        <v>160</v>
      </c>
      <c r="H161" s="655">
        <f t="shared" si="14"/>
        <v>-2047.5</v>
      </c>
      <c r="I161" s="655">
        <f t="shared" si="11"/>
        <v>8400</v>
      </c>
      <c r="J161" s="655">
        <f t="shared" si="12"/>
        <v>-3.7537500000000001</v>
      </c>
      <c r="K161" s="655">
        <f>SUM($J$2:J161)</f>
        <v>978.81666666666672</v>
      </c>
      <c r="L161" s="655">
        <f t="shared" si="13"/>
        <v>9378.8166666666675</v>
      </c>
    </row>
    <row r="162" spans="6:12" x14ac:dyDescent="0.25">
      <c r="F162">
        <f t="shared" si="10"/>
        <v>13</v>
      </c>
      <c r="G162">
        <v>161</v>
      </c>
      <c r="H162" s="655">
        <f t="shared" si="14"/>
        <v>-2100</v>
      </c>
      <c r="I162" s="655">
        <f t="shared" si="11"/>
        <v>8452.5</v>
      </c>
      <c r="J162" s="655">
        <f t="shared" si="12"/>
        <v>-3.85</v>
      </c>
      <c r="K162" s="655">
        <f>SUM($J$2:J162)</f>
        <v>974.9666666666667</v>
      </c>
      <c r="L162" s="655">
        <f t="shared" si="13"/>
        <v>9427.4666666666672</v>
      </c>
    </row>
    <row r="163" spans="6:12" x14ac:dyDescent="0.25">
      <c r="F163">
        <f t="shared" si="10"/>
        <v>13</v>
      </c>
      <c r="G163">
        <v>162</v>
      </c>
      <c r="H163" s="655">
        <f t="shared" si="14"/>
        <v>-2152.5</v>
      </c>
      <c r="I163" s="655">
        <f t="shared" si="11"/>
        <v>8505</v>
      </c>
      <c r="J163" s="655">
        <f t="shared" si="12"/>
        <v>-3.94625</v>
      </c>
      <c r="K163" s="655">
        <f>SUM($J$2:J163)</f>
        <v>971.02041666666673</v>
      </c>
      <c r="L163" s="655">
        <f t="shared" si="13"/>
        <v>9476.0204166666663</v>
      </c>
    </row>
    <row r="164" spans="6:12" x14ac:dyDescent="0.25">
      <c r="F164">
        <f t="shared" si="10"/>
        <v>13</v>
      </c>
      <c r="G164">
        <v>163</v>
      </c>
      <c r="H164" s="655">
        <f t="shared" si="14"/>
        <v>-2205</v>
      </c>
      <c r="I164" s="655">
        <f t="shared" si="11"/>
        <v>8557.5</v>
      </c>
      <c r="J164" s="655">
        <f t="shared" si="12"/>
        <v>-4.0424999999999995</v>
      </c>
      <c r="K164" s="655">
        <f>SUM($J$2:J164)</f>
        <v>966.97791666666672</v>
      </c>
      <c r="L164" s="655">
        <f t="shared" si="13"/>
        <v>9524.4779166666667</v>
      </c>
    </row>
    <row r="165" spans="6:12" x14ac:dyDescent="0.25">
      <c r="F165">
        <f t="shared" si="10"/>
        <v>13</v>
      </c>
      <c r="G165">
        <v>164</v>
      </c>
      <c r="H165" s="655">
        <f t="shared" si="14"/>
        <v>-2257.5</v>
      </c>
      <c r="I165" s="655">
        <f t="shared" si="11"/>
        <v>8610</v>
      </c>
      <c r="J165" s="655">
        <f t="shared" si="12"/>
        <v>-4.1387499999999999</v>
      </c>
      <c r="K165" s="655">
        <f>SUM($J$2:J165)</f>
        <v>962.83916666666676</v>
      </c>
      <c r="L165" s="655">
        <f t="shared" si="13"/>
        <v>9572.8391666666666</v>
      </c>
    </row>
    <row r="166" spans="6:12" x14ac:dyDescent="0.25">
      <c r="F166">
        <f t="shared" si="10"/>
        <v>13</v>
      </c>
      <c r="G166">
        <v>165</v>
      </c>
      <c r="H166" s="655">
        <f t="shared" si="14"/>
        <v>-2310</v>
      </c>
      <c r="I166" s="655">
        <f t="shared" si="11"/>
        <v>8662.5</v>
      </c>
      <c r="J166" s="655">
        <f t="shared" si="12"/>
        <v>-4.2350000000000003</v>
      </c>
      <c r="K166" s="655">
        <f>SUM($J$2:J166)</f>
        <v>958.60416666666674</v>
      </c>
      <c r="L166" s="655">
        <f t="shared" si="13"/>
        <v>9621.1041666666661</v>
      </c>
    </row>
    <row r="167" spans="6:12" x14ac:dyDescent="0.25">
      <c r="F167">
        <f t="shared" si="10"/>
        <v>13</v>
      </c>
      <c r="G167">
        <v>166</v>
      </c>
      <c r="H167" s="655">
        <f t="shared" si="14"/>
        <v>-2362.5</v>
      </c>
      <c r="I167" s="655">
        <f t="shared" si="11"/>
        <v>8715</v>
      </c>
      <c r="J167" s="655">
        <f t="shared" si="12"/>
        <v>-4.3312499999999998</v>
      </c>
      <c r="K167" s="655">
        <f>SUM($J$2:J167)</f>
        <v>954.27291666666679</v>
      </c>
      <c r="L167" s="655">
        <f t="shared" si="13"/>
        <v>9669.2729166666668</v>
      </c>
    </row>
    <row r="168" spans="6:12" x14ac:dyDescent="0.25">
      <c r="F168">
        <f t="shared" si="10"/>
        <v>13</v>
      </c>
      <c r="G168">
        <v>167</v>
      </c>
      <c r="H168" s="655">
        <f t="shared" si="14"/>
        <v>-2415</v>
      </c>
      <c r="I168" s="655">
        <f t="shared" si="11"/>
        <v>8767.5</v>
      </c>
      <c r="J168" s="655">
        <f t="shared" si="12"/>
        <v>-4.4275000000000002</v>
      </c>
      <c r="K168" s="655">
        <f>SUM($J$2:J168)</f>
        <v>949.84541666666678</v>
      </c>
      <c r="L168" s="655">
        <f t="shared" si="13"/>
        <v>9717.345416666667</v>
      </c>
    </row>
    <row r="169" spans="6:12" x14ac:dyDescent="0.25">
      <c r="F169">
        <f t="shared" si="10"/>
        <v>14</v>
      </c>
      <c r="G169">
        <v>168</v>
      </c>
      <c r="H169" s="655">
        <f t="shared" si="14"/>
        <v>-2467.5</v>
      </c>
      <c r="I169" s="655">
        <f t="shared" si="11"/>
        <v>8820</v>
      </c>
      <c r="J169" s="655">
        <f t="shared" si="12"/>
        <v>-4.5237499999999997</v>
      </c>
      <c r="K169" s="655">
        <f>SUM($J$2:J169)</f>
        <v>945.32166666666683</v>
      </c>
      <c r="L169" s="655">
        <f t="shared" si="13"/>
        <v>9765.3216666666667</v>
      </c>
    </row>
    <row r="170" spans="6:12" x14ac:dyDescent="0.25">
      <c r="F170">
        <f t="shared" si="10"/>
        <v>14</v>
      </c>
      <c r="G170">
        <v>169</v>
      </c>
      <c r="H170" s="655">
        <f t="shared" si="14"/>
        <v>-2520</v>
      </c>
      <c r="I170" s="655">
        <f t="shared" si="11"/>
        <v>8872.5</v>
      </c>
      <c r="J170" s="655">
        <f t="shared" si="12"/>
        <v>-4.62</v>
      </c>
      <c r="K170" s="655">
        <f>SUM($J$2:J170)</f>
        <v>940.70166666666682</v>
      </c>
      <c r="L170" s="655">
        <f t="shared" si="13"/>
        <v>9813.2016666666677</v>
      </c>
    </row>
    <row r="171" spans="6:12" x14ac:dyDescent="0.25">
      <c r="F171">
        <f t="shared" si="10"/>
        <v>14</v>
      </c>
      <c r="G171">
        <v>170</v>
      </c>
      <c r="H171" s="655">
        <f t="shared" si="14"/>
        <v>-2572.5</v>
      </c>
      <c r="I171" s="655">
        <f t="shared" si="11"/>
        <v>8925</v>
      </c>
      <c r="J171" s="655">
        <f t="shared" si="12"/>
        <v>-4.7162499999999996</v>
      </c>
      <c r="K171" s="655">
        <f>SUM($J$2:J171)</f>
        <v>935.98541666666688</v>
      </c>
      <c r="L171" s="655">
        <f t="shared" si="13"/>
        <v>9860.9854166666664</v>
      </c>
    </row>
    <row r="172" spans="6:12" x14ac:dyDescent="0.25">
      <c r="F172">
        <f t="shared" si="10"/>
        <v>14</v>
      </c>
      <c r="G172">
        <v>171</v>
      </c>
      <c r="H172" s="655">
        <f t="shared" si="14"/>
        <v>-2625</v>
      </c>
      <c r="I172" s="655">
        <f t="shared" si="11"/>
        <v>8977.5</v>
      </c>
      <c r="J172" s="655">
        <f t="shared" si="12"/>
        <v>-4.8125</v>
      </c>
      <c r="K172" s="655">
        <f>SUM($J$2:J172)</f>
        <v>931.17291666666688</v>
      </c>
      <c r="L172" s="655">
        <f t="shared" si="13"/>
        <v>9908.6729166666664</v>
      </c>
    </row>
    <row r="173" spans="6:12" x14ac:dyDescent="0.25">
      <c r="F173">
        <f t="shared" si="10"/>
        <v>14</v>
      </c>
      <c r="G173">
        <v>172</v>
      </c>
      <c r="H173" s="655">
        <f t="shared" si="14"/>
        <v>-2677.5</v>
      </c>
      <c r="I173" s="655">
        <f t="shared" si="11"/>
        <v>9030</v>
      </c>
      <c r="J173" s="655">
        <f t="shared" si="12"/>
        <v>-4.9087499999999995</v>
      </c>
      <c r="K173" s="655">
        <f>SUM($J$2:J173)</f>
        <v>926.26416666666682</v>
      </c>
      <c r="L173" s="655">
        <f t="shared" si="13"/>
        <v>9956.2641666666677</v>
      </c>
    </row>
    <row r="174" spans="6:12" x14ac:dyDescent="0.25">
      <c r="F174">
        <f t="shared" si="10"/>
        <v>14</v>
      </c>
      <c r="G174">
        <v>173</v>
      </c>
      <c r="H174" s="655">
        <f t="shared" si="14"/>
        <v>-2730</v>
      </c>
      <c r="I174" s="655">
        <f t="shared" si="11"/>
        <v>9082.5</v>
      </c>
      <c r="J174" s="655">
        <f t="shared" si="12"/>
        <v>-5.0049999999999999</v>
      </c>
      <c r="K174" s="655">
        <f>SUM($J$2:J174)</f>
        <v>921.25916666666683</v>
      </c>
      <c r="L174" s="655">
        <f t="shared" si="13"/>
        <v>10003.759166666667</v>
      </c>
    </row>
    <row r="175" spans="6:12" x14ac:dyDescent="0.25">
      <c r="F175">
        <f t="shared" si="10"/>
        <v>14</v>
      </c>
      <c r="G175">
        <v>174</v>
      </c>
      <c r="H175" s="655">
        <f t="shared" si="14"/>
        <v>-2782.5</v>
      </c>
      <c r="I175" s="655">
        <f t="shared" si="11"/>
        <v>9135</v>
      </c>
      <c r="J175" s="655">
        <f t="shared" si="12"/>
        <v>-5.1012500000000003</v>
      </c>
      <c r="K175" s="655">
        <f>SUM($J$2:J175)</f>
        <v>916.15791666666678</v>
      </c>
      <c r="L175" s="655">
        <f t="shared" si="13"/>
        <v>10051.157916666667</v>
      </c>
    </row>
    <row r="176" spans="6:12" x14ac:dyDescent="0.25">
      <c r="F176">
        <f t="shared" si="10"/>
        <v>14</v>
      </c>
      <c r="G176">
        <v>175</v>
      </c>
      <c r="H176" s="655">
        <f t="shared" si="14"/>
        <v>-2835</v>
      </c>
      <c r="I176" s="655">
        <f t="shared" si="11"/>
        <v>9187.5</v>
      </c>
      <c r="J176" s="655">
        <f t="shared" si="12"/>
        <v>-5.1974999999999998</v>
      </c>
      <c r="K176" s="655">
        <f>SUM($J$2:J176)</f>
        <v>910.96041666666679</v>
      </c>
      <c r="L176" s="655">
        <f t="shared" si="13"/>
        <v>10098.460416666667</v>
      </c>
    </row>
    <row r="177" spans="6:12" x14ac:dyDescent="0.25">
      <c r="F177">
        <f t="shared" si="10"/>
        <v>14</v>
      </c>
      <c r="G177">
        <v>176</v>
      </c>
      <c r="H177" s="655">
        <f t="shared" si="14"/>
        <v>-2887.5</v>
      </c>
      <c r="I177" s="655">
        <f t="shared" si="11"/>
        <v>9240</v>
      </c>
      <c r="J177" s="655">
        <f t="shared" si="12"/>
        <v>-5.2937500000000002</v>
      </c>
      <c r="K177" s="655">
        <f>SUM($J$2:J177)</f>
        <v>905.66666666666674</v>
      </c>
      <c r="L177" s="655">
        <f t="shared" si="13"/>
        <v>10145.666666666666</v>
      </c>
    </row>
    <row r="178" spans="6:12" x14ac:dyDescent="0.25">
      <c r="F178">
        <f t="shared" si="10"/>
        <v>14</v>
      </c>
      <c r="G178">
        <v>177</v>
      </c>
      <c r="H178" s="655">
        <f t="shared" si="14"/>
        <v>-2940</v>
      </c>
      <c r="I178" s="655">
        <f t="shared" si="11"/>
        <v>9292.5</v>
      </c>
      <c r="J178" s="655">
        <f t="shared" si="12"/>
        <v>-5.39</v>
      </c>
      <c r="K178" s="655">
        <f>SUM($J$2:J178)</f>
        <v>900.27666666666676</v>
      </c>
      <c r="L178" s="655">
        <f t="shared" si="13"/>
        <v>10192.776666666667</v>
      </c>
    </row>
    <row r="179" spans="6:12" x14ac:dyDescent="0.25">
      <c r="F179">
        <f t="shared" si="10"/>
        <v>14</v>
      </c>
      <c r="G179">
        <v>178</v>
      </c>
      <c r="H179" s="655">
        <f t="shared" si="14"/>
        <v>-2992.5</v>
      </c>
      <c r="I179" s="655">
        <f t="shared" si="11"/>
        <v>9345</v>
      </c>
      <c r="J179" s="655">
        <f t="shared" si="12"/>
        <v>-5.4862500000000001</v>
      </c>
      <c r="K179" s="655">
        <f>SUM($J$2:J179)</f>
        <v>894.79041666666672</v>
      </c>
      <c r="L179" s="655">
        <f t="shared" si="13"/>
        <v>10239.790416666667</v>
      </c>
    </row>
    <row r="180" spans="6:12" x14ac:dyDescent="0.25">
      <c r="F180">
        <f t="shared" si="10"/>
        <v>14</v>
      </c>
      <c r="G180">
        <v>179</v>
      </c>
      <c r="H180" s="655">
        <f t="shared" si="14"/>
        <v>-3045</v>
      </c>
      <c r="I180" s="655">
        <f t="shared" si="11"/>
        <v>9397.5</v>
      </c>
      <c r="J180" s="655">
        <f t="shared" si="12"/>
        <v>-5.5824999999999996</v>
      </c>
      <c r="K180" s="655">
        <f>SUM($J$2:J180)</f>
        <v>889.20791666666673</v>
      </c>
      <c r="L180" s="655">
        <f t="shared" si="13"/>
        <v>10286.707916666666</v>
      </c>
    </row>
    <row r="181" spans="6:12" x14ac:dyDescent="0.25">
      <c r="F181">
        <f t="shared" si="10"/>
        <v>15</v>
      </c>
      <c r="G181">
        <v>180</v>
      </c>
      <c r="H181" s="655">
        <f t="shared" si="14"/>
        <v>-3097.5</v>
      </c>
      <c r="I181" s="655">
        <f t="shared" si="11"/>
        <v>9450</v>
      </c>
      <c r="J181" s="655">
        <f t="shared" si="12"/>
        <v>-5.67875</v>
      </c>
      <c r="K181" s="655">
        <f>SUM($J$2:J181)</f>
        <v>883.5291666666667</v>
      </c>
      <c r="L181" s="655">
        <f t="shared" si="13"/>
        <v>10333.529166666667</v>
      </c>
    </row>
    <row r="182" spans="6:12" x14ac:dyDescent="0.25">
      <c r="F182">
        <f t="shared" si="10"/>
        <v>15</v>
      </c>
      <c r="G182">
        <v>181</v>
      </c>
      <c r="H182" s="655">
        <f t="shared" si="14"/>
        <v>-3150</v>
      </c>
      <c r="I182" s="655">
        <f t="shared" si="11"/>
        <v>9502.5</v>
      </c>
      <c r="J182" s="655">
        <f t="shared" si="12"/>
        <v>-5.7749999999999995</v>
      </c>
      <c r="K182" s="655">
        <f>SUM($J$2:J182)</f>
        <v>877.75416666666672</v>
      </c>
      <c r="L182" s="655">
        <f t="shared" si="13"/>
        <v>10380.254166666668</v>
      </c>
    </row>
    <row r="183" spans="6:12" x14ac:dyDescent="0.25">
      <c r="F183">
        <f t="shared" si="10"/>
        <v>15</v>
      </c>
      <c r="G183">
        <v>182</v>
      </c>
      <c r="H183" s="655">
        <f t="shared" si="14"/>
        <v>-3202.5</v>
      </c>
      <c r="I183" s="655">
        <f t="shared" si="11"/>
        <v>9555</v>
      </c>
      <c r="J183" s="655">
        <f t="shared" si="12"/>
        <v>-5.8712499999999999</v>
      </c>
      <c r="K183" s="655">
        <f>SUM($J$2:J183)</f>
        <v>871.88291666666669</v>
      </c>
      <c r="L183" s="655">
        <f t="shared" si="13"/>
        <v>10426.882916666667</v>
      </c>
    </row>
    <row r="184" spans="6:12" x14ac:dyDescent="0.25">
      <c r="F184">
        <f t="shared" si="10"/>
        <v>15</v>
      </c>
      <c r="G184">
        <v>183</v>
      </c>
      <c r="H184" s="655">
        <f t="shared" si="14"/>
        <v>-3255</v>
      </c>
      <c r="I184" s="655">
        <f t="shared" si="11"/>
        <v>9607.5</v>
      </c>
      <c r="J184" s="655">
        <f t="shared" si="12"/>
        <v>-5.9675000000000002</v>
      </c>
      <c r="K184" s="655">
        <f>SUM($J$2:J184)</f>
        <v>865.91541666666672</v>
      </c>
      <c r="L184" s="655">
        <f t="shared" si="13"/>
        <v>10473.415416666667</v>
      </c>
    </row>
    <row r="185" spans="6:12" x14ac:dyDescent="0.25">
      <c r="F185">
        <f t="shared" si="10"/>
        <v>15</v>
      </c>
      <c r="G185">
        <v>184</v>
      </c>
      <c r="H185" s="655">
        <f t="shared" si="14"/>
        <v>-3307.5</v>
      </c>
      <c r="I185" s="655">
        <f t="shared" si="11"/>
        <v>9660</v>
      </c>
      <c r="J185" s="655">
        <f t="shared" si="12"/>
        <v>-6.0637499999999998</v>
      </c>
      <c r="K185" s="655">
        <f>SUM($J$2:J185)</f>
        <v>859.85166666666669</v>
      </c>
      <c r="L185" s="655">
        <f t="shared" si="13"/>
        <v>10519.851666666667</v>
      </c>
    </row>
    <row r="186" spans="6:12" x14ac:dyDescent="0.25">
      <c r="F186">
        <f t="shared" si="10"/>
        <v>15</v>
      </c>
      <c r="G186">
        <v>185</v>
      </c>
      <c r="H186" s="655">
        <f t="shared" si="14"/>
        <v>-3360</v>
      </c>
      <c r="I186" s="655">
        <f t="shared" si="11"/>
        <v>9712.5</v>
      </c>
      <c r="J186" s="655">
        <f t="shared" si="12"/>
        <v>-6.16</v>
      </c>
      <c r="K186" s="655">
        <f>SUM($J$2:J186)</f>
        <v>853.69166666666672</v>
      </c>
      <c r="L186" s="655">
        <f t="shared" si="13"/>
        <v>10566.191666666668</v>
      </c>
    </row>
    <row r="187" spans="6:12" x14ac:dyDescent="0.25">
      <c r="F187">
        <f t="shared" si="10"/>
        <v>15</v>
      </c>
      <c r="G187">
        <v>186</v>
      </c>
      <c r="H187" s="655">
        <f t="shared" si="14"/>
        <v>-3412.5</v>
      </c>
      <c r="I187" s="655">
        <f t="shared" si="11"/>
        <v>9765</v>
      </c>
      <c r="J187" s="655">
        <f t="shared" si="12"/>
        <v>-6.2562499999999996</v>
      </c>
      <c r="K187" s="655">
        <f>SUM($J$2:J187)</f>
        <v>847.4354166666667</v>
      </c>
      <c r="L187" s="655">
        <f t="shared" si="13"/>
        <v>10612.435416666667</v>
      </c>
    </row>
    <row r="188" spans="6:12" x14ac:dyDescent="0.25">
      <c r="F188">
        <f t="shared" si="10"/>
        <v>15</v>
      </c>
      <c r="G188">
        <v>187</v>
      </c>
      <c r="H188" s="655">
        <f t="shared" si="14"/>
        <v>-3465</v>
      </c>
      <c r="I188" s="655">
        <f t="shared" si="11"/>
        <v>9817.5</v>
      </c>
      <c r="J188" s="655">
        <f t="shared" si="12"/>
        <v>-6.3525</v>
      </c>
      <c r="K188" s="655">
        <f>SUM($J$2:J188)</f>
        <v>841.08291666666673</v>
      </c>
      <c r="L188" s="655">
        <f t="shared" si="13"/>
        <v>10658.582916666666</v>
      </c>
    </row>
    <row r="189" spans="6:12" x14ac:dyDescent="0.25">
      <c r="F189">
        <f t="shared" si="10"/>
        <v>15</v>
      </c>
      <c r="G189">
        <v>188</v>
      </c>
      <c r="H189" s="655">
        <f t="shared" si="14"/>
        <v>-3517.5</v>
      </c>
      <c r="I189" s="655">
        <f t="shared" si="11"/>
        <v>9870</v>
      </c>
      <c r="J189" s="655">
        <f t="shared" si="12"/>
        <v>-6.4487499999999995</v>
      </c>
      <c r="K189" s="655">
        <f>SUM($J$2:J189)</f>
        <v>834.63416666666672</v>
      </c>
      <c r="L189" s="655">
        <f t="shared" si="13"/>
        <v>10704.634166666667</v>
      </c>
    </row>
    <row r="190" spans="6:12" x14ac:dyDescent="0.25">
      <c r="F190">
        <f t="shared" si="10"/>
        <v>15</v>
      </c>
      <c r="G190">
        <v>189</v>
      </c>
      <c r="H190" s="655">
        <f t="shared" si="14"/>
        <v>-3570</v>
      </c>
      <c r="I190" s="655">
        <f t="shared" si="11"/>
        <v>9922.5</v>
      </c>
      <c r="J190" s="655">
        <f t="shared" si="12"/>
        <v>-6.5449999999999999</v>
      </c>
      <c r="K190" s="655">
        <f>SUM($J$2:J190)</f>
        <v>828.08916666666676</v>
      </c>
      <c r="L190" s="655">
        <f t="shared" si="13"/>
        <v>10750.589166666667</v>
      </c>
    </row>
    <row r="191" spans="6:12" x14ac:dyDescent="0.25">
      <c r="F191">
        <f t="shared" si="10"/>
        <v>15</v>
      </c>
      <c r="G191">
        <v>190</v>
      </c>
      <c r="H191" s="655">
        <f t="shared" si="14"/>
        <v>-3622.5</v>
      </c>
      <c r="I191" s="655">
        <f t="shared" si="11"/>
        <v>9975</v>
      </c>
      <c r="J191" s="655">
        <f t="shared" si="12"/>
        <v>-6.6412500000000003</v>
      </c>
      <c r="K191" s="655">
        <f>SUM($J$2:J191)</f>
        <v>821.44791666666674</v>
      </c>
      <c r="L191" s="655">
        <f t="shared" si="13"/>
        <v>10796.447916666666</v>
      </c>
    </row>
    <row r="192" spans="6:12" x14ac:dyDescent="0.25">
      <c r="F192">
        <f t="shared" si="10"/>
        <v>15</v>
      </c>
      <c r="G192">
        <v>191</v>
      </c>
      <c r="H192" s="655">
        <f t="shared" si="14"/>
        <v>-3675</v>
      </c>
      <c r="I192" s="655">
        <f t="shared" si="11"/>
        <v>10027.5</v>
      </c>
      <c r="J192" s="655">
        <f t="shared" si="12"/>
        <v>-6.7374999999999998</v>
      </c>
      <c r="K192" s="655">
        <f>SUM($J$2:J192)</f>
        <v>814.71041666666679</v>
      </c>
      <c r="L192" s="655">
        <f t="shared" si="13"/>
        <v>10842.210416666667</v>
      </c>
    </row>
    <row r="193" spans="6:12" x14ac:dyDescent="0.25">
      <c r="F193">
        <f t="shared" si="10"/>
        <v>16</v>
      </c>
      <c r="G193">
        <v>192</v>
      </c>
      <c r="H193" s="655">
        <f t="shared" si="14"/>
        <v>-3727.5</v>
      </c>
      <c r="I193" s="655">
        <f t="shared" si="11"/>
        <v>10080</v>
      </c>
      <c r="J193" s="655">
        <f t="shared" si="12"/>
        <v>-6.8337500000000002</v>
      </c>
      <c r="K193" s="655">
        <f>SUM($J$2:J193)</f>
        <v>807.87666666666678</v>
      </c>
      <c r="L193" s="655">
        <f t="shared" si="13"/>
        <v>10887.876666666667</v>
      </c>
    </row>
    <row r="194" spans="6:12" x14ac:dyDescent="0.25">
      <c r="F194">
        <f t="shared" si="10"/>
        <v>16</v>
      </c>
      <c r="G194">
        <v>193</v>
      </c>
      <c r="H194" s="655">
        <f t="shared" si="14"/>
        <v>-3780</v>
      </c>
      <c r="I194" s="655">
        <f t="shared" si="11"/>
        <v>10132.5</v>
      </c>
      <c r="J194" s="655">
        <f t="shared" si="12"/>
        <v>-6.93</v>
      </c>
      <c r="K194" s="655">
        <f>SUM($J$2:J194)</f>
        <v>800.94666666666683</v>
      </c>
      <c r="L194" s="655">
        <f t="shared" si="13"/>
        <v>10933.446666666667</v>
      </c>
    </row>
    <row r="195" spans="6:12" x14ac:dyDescent="0.25">
      <c r="F195">
        <f t="shared" ref="F195:F258" si="15">QUOTIENT(G195,12)</f>
        <v>16</v>
      </c>
      <c r="G195">
        <v>194</v>
      </c>
      <c r="H195" s="655">
        <f t="shared" si="14"/>
        <v>-3832.5</v>
      </c>
      <c r="I195" s="655">
        <f t="shared" ref="I195:I258" si="16">G195*$D$9</f>
        <v>10185</v>
      </c>
      <c r="J195" s="655">
        <f t="shared" ref="J195:J258" si="17">H195*$D$11</f>
        <v>-7.0262500000000001</v>
      </c>
      <c r="K195" s="655">
        <f>SUM($J$2:J195)</f>
        <v>793.92041666666682</v>
      </c>
      <c r="L195" s="655">
        <f t="shared" ref="L195:L258" si="18">I195+K195</f>
        <v>10978.920416666668</v>
      </c>
    </row>
    <row r="196" spans="6:12" x14ac:dyDescent="0.25">
      <c r="F196">
        <f t="shared" si="15"/>
        <v>16</v>
      </c>
      <c r="G196">
        <v>195</v>
      </c>
      <c r="H196" s="655">
        <f t="shared" ref="H196:H259" si="19">$D$6-I195</f>
        <v>-3885</v>
      </c>
      <c r="I196" s="655">
        <f t="shared" si="16"/>
        <v>10237.5</v>
      </c>
      <c r="J196" s="655">
        <f t="shared" si="17"/>
        <v>-7.1224999999999996</v>
      </c>
      <c r="K196" s="655">
        <f>SUM($J$2:J196)</f>
        <v>786.79791666666688</v>
      </c>
      <c r="L196" s="655">
        <f t="shared" si="18"/>
        <v>11024.297916666666</v>
      </c>
    </row>
    <row r="197" spans="6:12" x14ac:dyDescent="0.25">
      <c r="F197">
        <f t="shared" si="15"/>
        <v>16</v>
      </c>
      <c r="G197">
        <v>196</v>
      </c>
      <c r="H197" s="655">
        <f t="shared" si="19"/>
        <v>-3937.5</v>
      </c>
      <c r="I197" s="655">
        <f t="shared" si="16"/>
        <v>10290</v>
      </c>
      <c r="J197" s="655">
        <f t="shared" si="17"/>
        <v>-7.21875</v>
      </c>
      <c r="K197" s="655">
        <f>SUM($J$2:J197)</f>
        <v>779.57916666666688</v>
      </c>
      <c r="L197" s="655">
        <f t="shared" si="18"/>
        <v>11069.579166666666</v>
      </c>
    </row>
    <row r="198" spans="6:12" x14ac:dyDescent="0.25">
      <c r="F198">
        <f t="shared" si="15"/>
        <v>16</v>
      </c>
      <c r="G198">
        <v>197</v>
      </c>
      <c r="H198" s="655">
        <f t="shared" si="19"/>
        <v>-3990</v>
      </c>
      <c r="I198" s="655">
        <f t="shared" si="16"/>
        <v>10342.5</v>
      </c>
      <c r="J198" s="655">
        <f t="shared" si="17"/>
        <v>-7.3149999999999995</v>
      </c>
      <c r="K198" s="655">
        <f>SUM($J$2:J198)</f>
        <v>772.26416666666682</v>
      </c>
      <c r="L198" s="655">
        <f t="shared" si="18"/>
        <v>11114.764166666668</v>
      </c>
    </row>
    <row r="199" spans="6:12" x14ac:dyDescent="0.25">
      <c r="F199">
        <f t="shared" si="15"/>
        <v>16</v>
      </c>
      <c r="G199">
        <v>198</v>
      </c>
      <c r="H199" s="655">
        <f t="shared" si="19"/>
        <v>-4042.5</v>
      </c>
      <c r="I199" s="655">
        <f t="shared" si="16"/>
        <v>10395</v>
      </c>
      <c r="J199" s="655">
        <f t="shared" si="17"/>
        <v>-7.4112499999999999</v>
      </c>
      <c r="K199" s="655">
        <f>SUM($J$2:J199)</f>
        <v>764.85291666666683</v>
      </c>
      <c r="L199" s="655">
        <f t="shared" si="18"/>
        <v>11159.852916666667</v>
      </c>
    </row>
    <row r="200" spans="6:12" x14ac:dyDescent="0.25">
      <c r="F200">
        <f t="shared" si="15"/>
        <v>16</v>
      </c>
      <c r="G200">
        <v>199</v>
      </c>
      <c r="H200" s="655">
        <f t="shared" si="19"/>
        <v>-4095</v>
      </c>
      <c r="I200" s="655">
        <f t="shared" si="16"/>
        <v>10447.5</v>
      </c>
      <c r="J200" s="655">
        <f t="shared" si="17"/>
        <v>-7.5075000000000003</v>
      </c>
      <c r="K200" s="655">
        <f>SUM($J$2:J200)</f>
        <v>757.34541666666678</v>
      </c>
      <c r="L200" s="655">
        <f t="shared" si="18"/>
        <v>11204.845416666667</v>
      </c>
    </row>
    <row r="201" spans="6:12" x14ac:dyDescent="0.25">
      <c r="F201">
        <f t="shared" si="15"/>
        <v>16</v>
      </c>
      <c r="G201">
        <v>200</v>
      </c>
      <c r="H201" s="655">
        <f t="shared" si="19"/>
        <v>-4147.5</v>
      </c>
      <c r="I201" s="655">
        <f t="shared" si="16"/>
        <v>10500</v>
      </c>
      <c r="J201" s="655">
        <f t="shared" si="17"/>
        <v>-7.6037499999999998</v>
      </c>
      <c r="K201" s="655">
        <f>SUM($J$2:J201)</f>
        <v>749.74166666666679</v>
      </c>
      <c r="L201" s="655">
        <f t="shared" si="18"/>
        <v>11249.741666666667</v>
      </c>
    </row>
    <row r="202" spans="6:12" x14ac:dyDescent="0.25">
      <c r="F202">
        <f t="shared" si="15"/>
        <v>16</v>
      </c>
      <c r="G202">
        <v>201</v>
      </c>
      <c r="H202" s="655">
        <f t="shared" si="19"/>
        <v>-4200</v>
      </c>
      <c r="I202" s="655">
        <f t="shared" si="16"/>
        <v>10552.5</v>
      </c>
      <c r="J202" s="655">
        <f t="shared" si="17"/>
        <v>-7.7</v>
      </c>
      <c r="K202" s="655">
        <f>SUM($J$2:J202)</f>
        <v>742.04166666666674</v>
      </c>
      <c r="L202" s="655">
        <f t="shared" si="18"/>
        <v>11294.541666666666</v>
      </c>
    </row>
    <row r="203" spans="6:12" x14ac:dyDescent="0.25">
      <c r="F203">
        <f t="shared" si="15"/>
        <v>16</v>
      </c>
      <c r="G203">
        <v>202</v>
      </c>
      <c r="H203" s="655">
        <f t="shared" si="19"/>
        <v>-4252.5</v>
      </c>
      <c r="I203" s="655">
        <f t="shared" si="16"/>
        <v>10605</v>
      </c>
      <c r="J203" s="655">
        <f t="shared" si="17"/>
        <v>-7.7962499999999997</v>
      </c>
      <c r="K203" s="655">
        <f>SUM($J$2:J203)</f>
        <v>734.24541666666676</v>
      </c>
      <c r="L203" s="655">
        <f t="shared" si="18"/>
        <v>11339.245416666667</v>
      </c>
    </row>
    <row r="204" spans="6:12" x14ac:dyDescent="0.25">
      <c r="F204">
        <f t="shared" si="15"/>
        <v>16</v>
      </c>
      <c r="G204">
        <v>203</v>
      </c>
      <c r="H204" s="655">
        <f t="shared" si="19"/>
        <v>-4305</v>
      </c>
      <c r="I204" s="655">
        <f t="shared" si="16"/>
        <v>10657.5</v>
      </c>
      <c r="J204" s="655">
        <f t="shared" si="17"/>
        <v>-7.8925000000000001</v>
      </c>
      <c r="K204" s="655">
        <f>SUM($J$2:J204)</f>
        <v>726.35291666666672</v>
      </c>
      <c r="L204" s="655">
        <f t="shared" si="18"/>
        <v>11383.852916666667</v>
      </c>
    </row>
    <row r="205" spans="6:12" x14ac:dyDescent="0.25">
      <c r="F205">
        <f t="shared" si="15"/>
        <v>17</v>
      </c>
      <c r="G205">
        <v>204</v>
      </c>
      <c r="H205" s="655">
        <f t="shared" si="19"/>
        <v>-4357.5</v>
      </c>
      <c r="I205" s="655">
        <f t="shared" si="16"/>
        <v>10710</v>
      </c>
      <c r="J205" s="655">
        <f t="shared" si="17"/>
        <v>-7.9887499999999996</v>
      </c>
      <c r="K205" s="655">
        <f>SUM($J$2:J205)</f>
        <v>718.36416666666673</v>
      </c>
      <c r="L205" s="655">
        <f t="shared" si="18"/>
        <v>11428.364166666666</v>
      </c>
    </row>
    <row r="206" spans="6:12" x14ac:dyDescent="0.25">
      <c r="F206">
        <f t="shared" si="15"/>
        <v>17</v>
      </c>
      <c r="G206">
        <v>205</v>
      </c>
      <c r="H206" s="655">
        <f t="shared" si="19"/>
        <v>-4410</v>
      </c>
      <c r="I206" s="655">
        <f t="shared" si="16"/>
        <v>10762.5</v>
      </c>
      <c r="J206" s="655">
        <f t="shared" si="17"/>
        <v>-8.0849999999999991</v>
      </c>
      <c r="K206" s="655">
        <f>SUM($J$2:J206)</f>
        <v>710.2791666666667</v>
      </c>
      <c r="L206" s="655">
        <f t="shared" si="18"/>
        <v>11472.779166666667</v>
      </c>
    </row>
    <row r="207" spans="6:12" x14ac:dyDescent="0.25">
      <c r="F207">
        <f t="shared" si="15"/>
        <v>17</v>
      </c>
      <c r="G207">
        <v>206</v>
      </c>
      <c r="H207" s="655">
        <f t="shared" si="19"/>
        <v>-4462.5</v>
      </c>
      <c r="I207" s="655">
        <f t="shared" si="16"/>
        <v>10815</v>
      </c>
      <c r="J207" s="655">
        <f t="shared" si="17"/>
        <v>-8.1812500000000004</v>
      </c>
      <c r="K207" s="655">
        <f>SUM($J$2:J207)</f>
        <v>702.09791666666672</v>
      </c>
      <c r="L207" s="655">
        <f t="shared" si="18"/>
        <v>11517.097916666668</v>
      </c>
    </row>
    <row r="208" spans="6:12" x14ac:dyDescent="0.25">
      <c r="F208">
        <f t="shared" si="15"/>
        <v>17</v>
      </c>
      <c r="G208">
        <v>207</v>
      </c>
      <c r="H208" s="655">
        <f t="shared" si="19"/>
        <v>-4515</v>
      </c>
      <c r="I208" s="655">
        <f t="shared" si="16"/>
        <v>10867.5</v>
      </c>
      <c r="J208" s="655">
        <f t="shared" si="17"/>
        <v>-8.2774999999999999</v>
      </c>
      <c r="K208" s="655">
        <f>SUM($J$2:J208)</f>
        <v>693.82041666666669</v>
      </c>
      <c r="L208" s="655">
        <f t="shared" si="18"/>
        <v>11561.320416666667</v>
      </c>
    </row>
    <row r="209" spans="6:12" x14ac:dyDescent="0.25">
      <c r="F209">
        <f t="shared" si="15"/>
        <v>17</v>
      </c>
      <c r="G209">
        <v>208</v>
      </c>
      <c r="H209" s="655">
        <f t="shared" si="19"/>
        <v>-4567.5</v>
      </c>
      <c r="I209" s="655">
        <f t="shared" si="16"/>
        <v>10920</v>
      </c>
      <c r="J209" s="655">
        <f t="shared" si="17"/>
        <v>-8.3737499999999994</v>
      </c>
      <c r="K209" s="655">
        <f>SUM($J$2:J209)</f>
        <v>685.44666666666672</v>
      </c>
      <c r="L209" s="655">
        <f t="shared" si="18"/>
        <v>11605.446666666667</v>
      </c>
    </row>
    <row r="210" spans="6:12" x14ac:dyDescent="0.25">
      <c r="F210">
        <f t="shared" si="15"/>
        <v>17</v>
      </c>
      <c r="G210">
        <v>209</v>
      </c>
      <c r="H210" s="655">
        <f t="shared" si="19"/>
        <v>-4620</v>
      </c>
      <c r="I210" s="655">
        <f t="shared" si="16"/>
        <v>10972.5</v>
      </c>
      <c r="J210" s="655">
        <f t="shared" si="17"/>
        <v>-8.4700000000000006</v>
      </c>
      <c r="K210" s="655">
        <f>SUM($J$2:J210)</f>
        <v>676.97666666666669</v>
      </c>
      <c r="L210" s="655">
        <f t="shared" si="18"/>
        <v>11649.476666666667</v>
      </c>
    </row>
    <row r="211" spans="6:12" x14ac:dyDescent="0.25">
      <c r="F211">
        <f t="shared" si="15"/>
        <v>17</v>
      </c>
      <c r="G211">
        <v>210</v>
      </c>
      <c r="H211" s="655">
        <f t="shared" si="19"/>
        <v>-4672.5</v>
      </c>
      <c r="I211" s="655">
        <f t="shared" si="16"/>
        <v>11025</v>
      </c>
      <c r="J211" s="655">
        <f t="shared" si="17"/>
        <v>-8.5662500000000001</v>
      </c>
      <c r="K211" s="655">
        <f>SUM($J$2:J211)</f>
        <v>668.41041666666672</v>
      </c>
      <c r="L211" s="655">
        <f t="shared" si="18"/>
        <v>11693.410416666668</v>
      </c>
    </row>
    <row r="212" spans="6:12" x14ac:dyDescent="0.25">
      <c r="F212">
        <f t="shared" si="15"/>
        <v>17</v>
      </c>
      <c r="G212">
        <v>211</v>
      </c>
      <c r="H212" s="655">
        <f t="shared" si="19"/>
        <v>-4725</v>
      </c>
      <c r="I212" s="655">
        <f t="shared" si="16"/>
        <v>11077.5</v>
      </c>
      <c r="J212" s="655">
        <f t="shared" si="17"/>
        <v>-8.6624999999999996</v>
      </c>
      <c r="K212" s="655">
        <f>SUM($J$2:J212)</f>
        <v>659.7479166666667</v>
      </c>
      <c r="L212" s="655">
        <f t="shared" si="18"/>
        <v>11737.247916666667</v>
      </c>
    </row>
    <row r="213" spans="6:12" x14ac:dyDescent="0.25">
      <c r="F213">
        <f t="shared" si="15"/>
        <v>17</v>
      </c>
      <c r="G213">
        <v>212</v>
      </c>
      <c r="H213" s="655">
        <f t="shared" si="19"/>
        <v>-4777.5</v>
      </c>
      <c r="I213" s="655">
        <f t="shared" si="16"/>
        <v>11130</v>
      </c>
      <c r="J213" s="655">
        <f t="shared" si="17"/>
        <v>-8.7587499999999991</v>
      </c>
      <c r="K213" s="655">
        <f>SUM($J$2:J213)</f>
        <v>650.98916666666673</v>
      </c>
      <c r="L213" s="655">
        <f t="shared" si="18"/>
        <v>11780.989166666666</v>
      </c>
    </row>
    <row r="214" spans="6:12" x14ac:dyDescent="0.25">
      <c r="F214">
        <f t="shared" si="15"/>
        <v>17</v>
      </c>
      <c r="G214">
        <v>213</v>
      </c>
      <c r="H214" s="655">
        <f t="shared" si="19"/>
        <v>-4830</v>
      </c>
      <c r="I214" s="655">
        <f t="shared" si="16"/>
        <v>11182.5</v>
      </c>
      <c r="J214" s="655">
        <f t="shared" si="17"/>
        <v>-8.8550000000000004</v>
      </c>
      <c r="K214" s="655">
        <f>SUM($J$2:J214)</f>
        <v>642.13416666666672</v>
      </c>
      <c r="L214" s="655">
        <f t="shared" si="18"/>
        <v>11824.634166666667</v>
      </c>
    </row>
    <row r="215" spans="6:12" x14ac:dyDescent="0.25">
      <c r="F215">
        <f t="shared" si="15"/>
        <v>17</v>
      </c>
      <c r="G215">
        <v>214</v>
      </c>
      <c r="H215" s="655">
        <f t="shared" si="19"/>
        <v>-4882.5</v>
      </c>
      <c r="I215" s="655">
        <f t="shared" si="16"/>
        <v>11235</v>
      </c>
      <c r="J215" s="655">
        <f t="shared" si="17"/>
        <v>-8.9512499999999999</v>
      </c>
      <c r="K215" s="655">
        <f>SUM($J$2:J215)</f>
        <v>633.18291666666676</v>
      </c>
      <c r="L215" s="655">
        <f t="shared" si="18"/>
        <v>11868.182916666667</v>
      </c>
    </row>
    <row r="216" spans="6:12" x14ac:dyDescent="0.25">
      <c r="F216">
        <f t="shared" si="15"/>
        <v>17</v>
      </c>
      <c r="G216">
        <v>215</v>
      </c>
      <c r="H216" s="655">
        <f t="shared" si="19"/>
        <v>-4935</v>
      </c>
      <c r="I216" s="655">
        <f t="shared" si="16"/>
        <v>11287.5</v>
      </c>
      <c r="J216" s="655">
        <f t="shared" si="17"/>
        <v>-9.0474999999999994</v>
      </c>
      <c r="K216" s="655">
        <f>SUM($J$2:J216)</f>
        <v>624.13541666666674</v>
      </c>
      <c r="L216" s="655">
        <f t="shared" si="18"/>
        <v>11911.635416666666</v>
      </c>
    </row>
    <row r="217" spans="6:12" x14ac:dyDescent="0.25">
      <c r="F217">
        <f t="shared" si="15"/>
        <v>18</v>
      </c>
      <c r="G217">
        <v>216</v>
      </c>
      <c r="H217" s="655">
        <f t="shared" si="19"/>
        <v>-4987.5</v>
      </c>
      <c r="I217" s="655">
        <f t="shared" si="16"/>
        <v>11340</v>
      </c>
      <c r="J217" s="655">
        <f t="shared" si="17"/>
        <v>-9.1437500000000007</v>
      </c>
      <c r="K217" s="655">
        <f>SUM($J$2:J217)</f>
        <v>614.99166666666679</v>
      </c>
      <c r="L217" s="655">
        <f t="shared" si="18"/>
        <v>11954.991666666667</v>
      </c>
    </row>
    <row r="218" spans="6:12" x14ac:dyDescent="0.25">
      <c r="F218">
        <f t="shared" si="15"/>
        <v>18</v>
      </c>
      <c r="G218">
        <v>217</v>
      </c>
      <c r="H218" s="655">
        <f t="shared" si="19"/>
        <v>-5040</v>
      </c>
      <c r="I218" s="655">
        <f t="shared" si="16"/>
        <v>11392.5</v>
      </c>
      <c r="J218" s="655">
        <f t="shared" si="17"/>
        <v>-9.24</v>
      </c>
      <c r="K218" s="655">
        <f>SUM($J$2:J218)</f>
        <v>605.75166666666678</v>
      </c>
      <c r="L218" s="655">
        <f t="shared" si="18"/>
        <v>11998.251666666667</v>
      </c>
    </row>
    <row r="219" spans="6:12" x14ac:dyDescent="0.25">
      <c r="F219">
        <f t="shared" si="15"/>
        <v>18</v>
      </c>
      <c r="G219">
        <v>218</v>
      </c>
      <c r="H219" s="655">
        <f t="shared" si="19"/>
        <v>-5092.5</v>
      </c>
      <c r="I219" s="655">
        <f t="shared" si="16"/>
        <v>11445</v>
      </c>
      <c r="J219" s="655">
        <f t="shared" si="17"/>
        <v>-9.3362499999999997</v>
      </c>
      <c r="K219" s="655">
        <f>SUM($J$2:J219)</f>
        <v>596.41541666666683</v>
      </c>
      <c r="L219" s="655">
        <f t="shared" si="18"/>
        <v>12041.415416666667</v>
      </c>
    </row>
    <row r="220" spans="6:12" x14ac:dyDescent="0.25">
      <c r="F220">
        <f t="shared" si="15"/>
        <v>18</v>
      </c>
      <c r="G220">
        <v>219</v>
      </c>
      <c r="H220" s="655">
        <f t="shared" si="19"/>
        <v>-5145</v>
      </c>
      <c r="I220" s="655">
        <f t="shared" si="16"/>
        <v>11497.5</v>
      </c>
      <c r="J220" s="655">
        <f t="shared" si="17"/>
        <v>-9.4324999999999992</v>
      </c>
      <c r="K220" s="655">
        <f>SUM($J$2:J220)</f>
        <v>586.98291666666682</v>
      </c>
      <c r="L220" s="655">
        <f t="shared" si="18"/>
        <v>12084.482916666668</v>
      </c>
    </row>
    <row r="221" spans="6:12" x14ac:dyDescent="0.25">
      <c r="F221">
        <f t="shared" si="15"/>
        <v>18</v>
      </c>
      <c r="G221">
        <v>220</v>
      </c>
      <c r="H221" s="655">
        <f t="shared" si="19"/>
        <v>-5197.5</v>
      </c>
      <c r="I221" s="655">
        <f t="shared" si="16"/>
        <v>11550</v>
      </c>
      <c r="J221" s="655">
        <f t="shared" si="17"/>
        <v>-9.5287500000000005</v>
      </c>
      <c r="K221" s="655">
        <f>SUM($J$2:J221)</f>
        <v>577.45416666666688</v>
      </c>
      <c r="L221" s="655">
        <f t="shared" si="18"/>
        <v>12127.454166666666</v>
      </c>
    </row>
    <row r="222" spans="6:12" x14ac:dyDescent="0.25">
      <c r="F222">
        <f t="shared" si="15"/>
        <v>18</v>
      </c>
      <c r="G222">
        <v>221</v>
      </c>
      <c r="H222" s="655">
        <f t="shared" si="19"/>
        <v>-5250</v>
      </c>
      <c r="I222" s="655">
        <f t="shared" si="16"/>
        <v>11602.5</v>
      </c>
      <c r="J222" s="655">
        <f t="shared" si="17"/>
        <v>-9.625</v>
      </c>
      <c r="K222" s="655">
        <f>SUM($J$2:J222)</f>
        <v>567.82916666666688</v>
      </c>
      <c r="L222" s="655">
        <f t="shared" si="18"/>
        <v>12170.329166666666</v>
      </c>
    </row>
    <row r="223" spans="6:12" x14ac:dyDescent="0.25">
      <c r="F223">
        <f t="shared" si="15"/>
        <v>18</v>
      </c>
      <c r="G223">
        <v>222</v>
      </c>
      <c r="H223" s="655">
        <f t="shared" si="19"/>
        <v>-5302.5</v>
      </c>
      <c r="I223" s="655">
        <f t="shared" si="16"/>
        <v>11655</v>
      </c>
      <c r="J223" s="655">
        <f t="shared" si="17"/>
        <v>-9.7212499999999995</v>
      </c>
      <c r="K223" s="655">
        <f>SUM($J$2:J223)</f>
        <v>558.10791666666682</v>
      </c>
      <c r="L223" s="655">
        <f t="shared" si="18"/>
        <v>12213.107916666668</v>
      </c>
    </row>
    <row r="224" spans="6:12" x14ac:dyDescent="0.25">
      <c r="F224">
        <f t="shared" si="15"/>
        <v>18</v>
      </c>
      <c r="G224">
        <v>223</v>
      </c>
      <c r="H224" s="655">
        <f t="shared" si="19"/>
        <v>-5355</v>
      </c>
      <c r="I224" s="655">
        <f t="shared" si="16"/>
        <v>11707.5</v>
      </c>
      <c r="J224" s="655">
        <f t="shared" si="17"/>
        <v>-9.817499999999999</v>
      </c>
      <c r="K224" s="655">
        <f>SUM($J$2:J224)</f>
        <v>548.29041666666683</v>
      </c>
      <c r="L224" s="655">
        <f t="shared" si="18"/>
        <v>12255.790416666667</v>
      </c>
    </row>
    <row r="225" spans="6:12" x14ac:dyDescent="0.25">
      <c r="F225">
        <f t="shared" si="15"/>
        <v>18</v>
      </c>
      <c r="G225">
        <v>224</v>
      </c>
      <c r="H225" s="655">
        <f t="shared" si="19"/>
        <v>-5407.5</v>
      </c>
      <c r="I225" s="655">
        <f t="shared" si="16"/>
        <v>11760</v>
      </c>
      <c r="J225" s="655">
        <f t="shared" si="17"/>
        <v>-9.9137500000000003</v>
      </c>
      <c r="K225" s="655">
        <f>SUM($J$2:J225)</f>
        <v>538.37666666666678</v>
      </c>
      <c r="L225" s="655">
        <f t="shared" si="18"/>
        <v>12298.376666666667</v>
      </c>
    </row>
    <row r="226" spans="6:12" x14ac:dyDescent="0.25">
      <c r="F226">
        <f t="shared" si="15"/>
        <v>18</v>
      </c>
      <c r="G226">
        <v>225</v>
      </c>
      <c r="H226" s="655">
        <f t="shared" si="19"/>
        <v>-5460</v>
      </c>
      <c r="I226" s="655">
        <f t="shared" si="16"/>
        <v>11812.5</v>
      </c>
      <c r="J226" s="655">
        <f t="shared" si="17"/>
        <v>-10.01</v>
      </c>
      <c r="K226" s="655">
        <f>SUM($J$2:J226)</f>
        <v>528.36666666666679</v>
      </c>
      <c r="L226" s="655">
        <f t="shared" si="18"/>
        <v>12340.866666666667</v>
      </c>
    </row>
    <row r="227" spans="6:12" x14ac:dyDescent="0.25">
      <c r="F227">
        <f t="shared" si="15"/>
        <v>18</v>
      </c>
      <c r="G227">
        <v>226</v>
      </c>
      <c r="H227" s="655">
        <f t="shared" si="19"/>
        <v>-5512.5</v>
      </c>
      <c r="I227" s="655">
        <f t="shared" si="16"/>
        <v>11865</v>
      </c>
      <c r="J227" s="655">
        <f t="shared" si="17"/>
        <v>-10.106249999999999</v>
      </c>
      <c r="K227" s="655">
        <f>SUM($J$2:J227)</f>
        <v>518.26041666666674</v>
      </c>
      <c r="L227" s="655">
        <f t="shared" si="18"/>
        <v>12383.260416666666</v>
      </c>
    </row>
    <row r="228" spans="6:12" x14ac:dyDescent="0.25">
      <c r="F228">
        <f t="shared" si="15"/>
        <v>18</v>
      </c>
      <c r="G228">
        <v>227</v>
      </c>
      <c r="H228" s="655">
        <f t="shared" si="19"/>
        <v>-5565</v>
      </c>
      <c r="I228" s="655">
        <f t="shared" si="16"/>
        <v>11917.5</v>
      </c>
      <c r="J228" s="655">
        <f t="shared" si="17"/>
        <v>-10.202500000000001</v>
      </c>
      <c r="K228" s="655">
        <f>SUM($J$2:J228)</f>
        <v>508.05791666666676</v>
      </c>
      <c r="L228" s="655">
        <f t="shared" si="18"/>
        <v>12425.557916666667</v>
      </c>
    </row>
    <row r="229" spans="6:12" x14ac:dyDescent="0.25">
      <c r="F229">
        <f t="shared" si="15"/>
        <v>19</v>
      </c>
      <c r="G229">
        <v>228</v>
      </c>
      <c r="H229" s="655">
        <f t="shared" si="19"/>
        <v>-5617.5</v>
      </c>
      <c r="I229" s="655">
        <f t="shared" si="16"/>
        <v>11970</v>
      </c>
      <c r="J229" s="655">
        <f t="shared" si="17"/>
        <v>-10.29875</v>
      </c>
      <c r="K229" s="655">
        <f>SUM($J$2:J229)</f>
        <v>497.75916666666677</v>
      </c>
      <c r="L229" s="655">
        <f t="shared" si="18"/>
        <v>12467.759166666667</v>
      </c>
    </row>
    <row r="230" spans="6:12" x14ac:dyDescent="0.25">
      <c r="F230">
        <f t="shared" si="15"/>
        <v>19</v>
      </c>
      <c r="G230">
        <v>229</v>
      </c>
      <c r="H230" s="655">
        <f t="shared" si="19"/>
        <v>-5670</v>
      </c>
      <c r="I230" s="655">
        <f t="shared" si="16"/>
        <v>12022.5</v>
      </c>
      <c r="J230" s="655">
        <f t="shared" si="17"/>
        <v>-10.395</v>
      </c>
      <c r="K230" s="655">
        <f>SUM($J$2:J230)</f>
        <v>487.36416666666679</v>
      </c>
      <c r="L230" s="655">
        <f t="shared" si="18"/>
        <v>12509.864166666666</v>
      </c>
    </row>
    <row r="231" spans="6:12" x14ac:dyDescent="0.25">
      <c r="F231">
        <f t="shared" si="15"/>
        <v>19</v>
      </c>
      <c r="G231">
        <v>230</v>
      </c>
      <c r="H231" s="655">
        <f t="shared" si="19"/>
        <v>-5722.5</v>
      </c>
      <c r="I231" s="655">
        <f t="shared" si="16"/>
        <v>12075</v>
      </c>
      <c r="J231" s="655">
        <f t="shared" si="17"/>
        <v>-10.491249999999999</v>
      </c>
      <c r="K231" s="655">
        <f>SUM($J$2:J231)</f>
        <v>476.87291666666681</v>
      </c>
      <c r="L231" s="655">
        <f t="shared" si="18"/>
        <v>12551.872916666667</v>
      </c>
    </row>
    <row r="232" spans="6:12" x14ac:dyDescent="0.25">
      <c r="F232">
        <f t="shared" si="15"/>
        <v>19</v>
      </c>
      <c r="G232">
        <v>231</v>
      </c>
      <c r="H232" s="655">
        <f t="shared" si="19"/>
        <v>-5775</v>
      </c>
      <c r="I232" s="655">
        <f t="shared" si="16"/>
        <v>12127.5</v>
      </c>
      <c r="J232" s="655">
        <f t="shared" si="17"/>
        <v>-10.5875</v>
      </c>
      <c r="K232" s="655">
        <f>SUM($J$2:J232)</f>
        <v>466.28541666666683</v>
      </c>
      <c r="L232" s="655">
        <f t="shared" si="18"/>
        <v>12593.785416666668</v>
      </c>
    </row>
    <row r="233" spans="6:12" x14ac:dyDescent="0.25">
      <c r="F233">
        <f t="shared" si="15"/>
        <v>19</v>
      </c>
      <c r="G233">
        <v>232</v>
      </c>
      <c r="H233" s="655">
        <f t="shared" si="19"/>
        <v>-5827.5</v>
      </c>
      <c r="I233" s="655">
        <f t="shared" si="16"/>
        <v>12180</v>
      </c>
      <c r="J233" s="655">
        <f t="shared" si="17"/>
        <v>-10.68375</v>
      </c>
      <c r="K233" s="655">
        <f>SUM($J$2:J233)</f>
        <v>455.60166666666686</v>
      </c>
      <c r="L233" s="655">
        <f t="shared" si="18"/>
        <v>12635.601666666667</v>
      </c>
    </row>
    <row r="234" spans="6:12" x14ac:dyDescent="0.25">
      <c r="F234">
        <f t="shared" si="15"/>
        <v>19</v>
      </c>
      <c r="G234">
        <v>233</v>
      </c>
      <c r="H234" s="655">
        <f t="shared" si="19"/>
        <v>-5880</v>
      </c>
      <c r="I234" s="655">
        <f t="shared" si="16"/>
        <v>12232.5</v>
      </c>
      <c r="J234" s="655">
        <f t="shared" si="17"/>
        <v>-10.78</v>
      </c>
      <c r="K234" s="655">
        <f>SUM($J$2:J234)</f>
        <v>444.82166666666689</v>
      </c>
      <c r="L234" s="655">
        <f t="shared" si="18"/>
        <v>12677.321666666667</v>
      </c>
    </row>
    <row r="235" spans="6:12" x14ac:dyDescent="0.25">
      <c r="F235">
        <f t="shared" si="15"/>
        <v>19</v>
      </c>
      <c r="G235">
        <v>234</v>
      </c>
      <c r="H235" s="655">
        <f t="shared" si="19"/>
        <v>-5932.5</v>
      </c>
      <c r="I235" s="655">
        <f t="shared" si="16"/>
        <v>12285</v>
      </c>
      <c r="J235" s="655">
        <f t="shared" si="17"/>
        <v>-10.876250000000001</v>
      </c>
      <c r="K235" s="655">
        <f>SUM($J$2:J235)</f>
        <v>433.94541666666686</v>
      </c>
      <c r="L235" s="655">
        <f t="shared" si="18"/>
        <v>12718.945416666667</v>
      </c>
    </row>
    <row r="236" spans="6:12" x14ac:dyDescent="0.25">
      <c r="F236">
        <f t="shared" si="15"/>
        <v>19</v>
      </c>
      <c r="G236">
        <v>235</v>
      </c>
      <c r="H236" s="655">
        <f t="shared" si="19"/>
        <v>-5985</v>
      </c>
      <c r="I236" s="655">
        <f t="shared" si="16"/>
        <v>12337.5</v>
      </c>
      <c r="J236" s="655">
        <f t="shared" si="17"/>
        <v>-10.9725</v>
      </c>
      <c r="K236" s="655">
        <f>SUM($J$2:J236)</f>
        <v>422.97291666666683</v>
      </c>
      <c r="L236" s="655">
        <f t="shared" si="18"/>
        <v>12760.472916666668</v>
      </c>
    </row>
    <row r="237" spans="6:12" x14ac:dyDescent="0.25">
      <c r="F237">
        <f t="shared" si="15"/>
        <v>19</v>
      </c>
      <c r="G237">
        <v>236</v>
      </c>
      <c r="H237" s="655">
        <f t="shared" si="19"/>
        <v>-6037.5</v>
      </c>
      <c r="I237" s="655">
        <f t="shared" si="16"/>
        <v>12390</v>
      </c>
      <c r="J237" s="655">
        <f t="shared" si="17"/>
        <v>-11.06875</v>
      </c>
      <c r="K237" s="655">
        <f>SUM($J$2:J237)</f>
        <v>411.90416666666681</v>
      </c>
      <c r="L237" s="655">
        <f t="shared" si="18"/>
        <v>12801.904166666667</v>
      </c>
    </row>
    <row r="238" spans="6:12" x14ac:dyDescent="0.25">
      <c r="F238">
        <f t="shared" si="15"/>
        <v>19</v>
      </c>
      <c r="G238">
        <v>237</v>
      </c>
      <c r="H238" s="655">
        <f t="shared" si="19"/>
        <v>-6090</v>
      </c>
      <c r="I238" s="655">
        <f t="shared" si="16"/>
        <v>12442.5</v>
      </c>
      <c r="J238" s="655">
        <f t="shared" si="17"/>
        <v>-11.164999999999999</v>
      </c>
      <c r="K238" s="655">
        <f>SUM($J$2:J238)</f>
        <v>400.73916666666679</v>
      </c>
      <c r="L238" s="655">
        <f t="shared" si="18"/>
        <v>12843.239166666666</v>
      </c>
    </row>
    <row r="239" spans="6:12" x14ac:dyDescent="0.25">
      <c r="F239">
        <f t="shared" si="15"/>
        <v>19</v>
      </c>
      <c r="G239">
        <v>238</v>
      </c>
      <c r="H239" s="655">
        <f t="shared" si="19"/>
        <v>-6142.5</v>
      </c>
      <c r="I239" s="655">
        <f t="shared" si="16"/>
        <v>12495</v>
      </c>
      <c r="J239" s="655">
        <f t="shared" si="17"/>
        <v>-11.26125</v>
      </c>
      <c r="K239" s="655">
        <f>SUM($J$2:J239)</f>
        <v>389.47791666666677</v>
      </c>
      <c r="L239" s="655">
        <f t="shared" si="18"/>
        <v>12884.477916666667</v>
      </c>
    </row>
    <row r="240" spans="6:12" x14ac:dyDescent="0.25">
      <c r="F240">
        <f t="shared" si="15"/>
        <v>19</v>
      </c>
      <c r="G240">
        <v>239</v>
      </c>
      <c r="H240" s="655">
        <f t="shared" si="19"/>
        <v>-6195</v>
      </c>
      <c r="I240" s="655">
        <f t="shared" si="16"/>
        <v>12547.5</v>
      </c>
      <c r="J240" s="655">
        <f t="shared" si="17"/>
        <v>-11.3575</v>
      </c>
      <c r="K240" s="655">
        <f>SUM($J$2:J240)</f>
        <v>378.12041666666676</v>
      </c>
      <c r="L240" s="655">
        <f t="shared" si="18"/>
        <v>12925.620416666667</v>
      </c>
    </row>
    <row r="241" spans="6:12" x14ac:dyDescent="0.25">
      <c r="F241">
        <f t="shared" si="15"/>
        <v>20</v>
      </c>
      <c r="G241">
        <v>240</v>
      </c>
      <c r="H241" s="655">
        <f t="shared" si="19"/>
        <v>-6247.5</v>
      </c>
      <c r="I241" s="655">
        <f t="shared" si="16"/>
        <v>12600</v>
      </c>
      <c r="J241" s="655">
        <f t="shared" si="17"/>
        <v>-11.453749999999999</v>
      </c>
      <c r="K241" s="655">
        <f>SUM($J$2:J241)</f>
        <v>366.66666666666674</v>
      </c>
      <c r="L241" s="655">
        <f t="shared" si="18"/>
        <v>12966.666666666666</v>
      </c>
    </row>
    <row r="242" spans="6:12" x14ac:dyDescent="0.25">
      <c r="F242">
        <f t="shared" si="15"/>
        <v>20</v>
      </c>
      <c r="G242">
        <v>241</v>
      </c>
      <c r="H242" s="655">
        <f t="shared" si="19"/>
        <v>-6300</v>
      </c>
      <c r="I242" s="655">
        <f t="shared" si="16"/>
        <v>12652.5</v>
      </c>
      <c r="J242" s="655">
        <f t="shared" si="17"/>
        <v>-11.549999999999999</v>
      </c>
      <c r="K242" s="655">
        <f>SUM($J$2:J242)</f>
        <v>355.11666666666673</v>
      </c>
      <c r="L242" s="655">
        <f t="shared" si="18"/>
        <v>13007.616666666667</v>
      </c>
    </row>
    <row r="243" spans="6:12" x14ac:dyDescent="0.25">
      <c r="F243">
        <f t="shared" si="15"/>
        <v>20</v>
      </c>
      <c r="G243">
        <v>242</v>
      </c>
      <c r="H243" s="655">
        <f t="shared" si="19"/>
        <v>-6352.5</v>
      </c>
      <c r="I243" s="655">
        <f t="shared" si="16"/>
        <v>12705</v>
      </c>
      <c r="J243" s="655">
        <f t="shared" si="17"/>
        <v>-11.64625</v>
      </c>
      <c r="K243" s="655">
        <f>SUM($J$2:J243)</f>
        <v>343.47041666666672</v>
      </c>
      <c r="L243" s="655">
        <f t="shared" si="18"/>
        <v>13048.470416666667</v>
      </c>
    </row>
    <row r="244" spans="6:12" x14ac:dyDescent="0.25">
      <c r="F244">
        <f t="shared" si="15"/>
        <v>20</v>
      </c>
      <c r="G244">
        <v>243</v>
      </c>
      <c r="H244" s="655">
        <f t="shared" si="19"/>
        <v>-6405</v>
      </c>
      <c r="I244" s="655">
        <f t="shared" si="16"/>
        <v>12757.5</v>
      </c>
      <c r="J244" s="655">
        <f t="shared" si="17"/>
        <v>-11.7425</v>
      </c>
      <c r="K244" s="655">
        <f>SUM($J$2:J244)</f>
        <v>331.72791666666672</v>
      </c>
      <c r="L244" s="655">
        <f t="shared" si="18"/>
        <v>13089.227916666667</v>
      </c>
    </row>
    <row r="245" spans="6:12" x14ac:dyDescent="0.25">
      <c r="F245">
        <f t="shared" si="15"/>
        <v>20</v>
      </c>
      <c r="G245">
        <v>244</v>
      </c>
      <c r="H245" s="655">
        <f t="shared" si="19"/>
        <v>-6457.5</v>
      </c>
      <c r="I245" s="655">
        <f t="shared" si="16"/>
        <v>12810</v>
      </c>
      <c r="J245" s="655">
        <f t="shared" si="17"/>
        <v>-11.838749999999999</v>
      </c>
      <c r="K245" s="655">
        <f>SUM($J$2:J245)</f>
        <v>319.88916666666671</v>
      </c>
      <c r="L245" s="655">
        <f t="shared" si="18"/>
        <v>13129.889166666666</v>
      </c>
    </row>
    <row r="246" spans="6:12" x14ac:dyDescent="0.25">
      <c r="F246">
        <f t="shared" si="15"/>
        <v>20</v>
      </c>
      <c r="G246">
        <v>245</v>
      </c>
      <c r="H246" s="655">
        <f t="shared" si="19"/>
        <v>-6510</v>
      </c>
      <c r="I246" s="655">
        <f t="shared" si="16"/>
        <v>12862.5</v>
      </c>
      <c r="J246" s="655">
        <f t="shared" si="17"/>
        <v>-11.935</v>
      </c>
      <c r="K246" s="655">
        <f>SUM($J$2:J246)</f>
        <v>307.95416666666671</v>
      </c>
      <c r="L246" s="655">
        <f t="shared" si="18"/>
        <v>13170.454166666666</v>
      </c>
    </row>
    <row r="247" spans="6:12" x14ac:dyDescent="0.25">
      <c r="F247">
        <f t="shared" si="15"/>
        <v>20</v>
      </c>
      <c r="G247">
        <v>246</v>
      </c>
      <c r="H247" s="655">
        <f t="shared" si="19"/>
        <v>-6562.5</v>
      </c>
      <c r="I247" s="655">
        <f t="shared" si="16"/>
        <v>12915</v>
      </c>
      <c r="J247" s="655">
        <f t="shared" si="17"/>
        <v>-12.03125</v>
      </c>
      <c r="K247" s="655">
        <f>SUM($J$2:J247)</f>
        <v>295.92291666666671</v>
      </c>
      <c r="L247" s="655">
        <f t="shared" si="18"/>
        <v>13210.922916666666</v>
      </c>
    </row>
    <row r="248" spans="6:12" x14ac:dyDescent="0.25">
      <c r="F248">
        <f t="shared" si="15"/>
        <v>20</v>
      </c>
      <c r="G248">
        <v>247</v>
      </c>
      <c r="H248" s="655">
        <f t="shared" si="19"/>
        <v>-6615</v>
      </c>
      <c r="I248" s="655">
        <f t="shared" si="16"/>
        <v>12967.5</v>
      </c>
      <c r="J248" s="655">
        <f t="shared" si="17"/>
        <v>-12.1275</v>
      </c>
      <c r="K248" s="655">
        <f>SUM($J$2:J248)</f>
        <v>283.79541666666671</v>
      </c>
      <c r="L248" s="655">
        <f t="shared" si="18"/>
        <v>13251.295416666666</v>
      </c>
    </row>
    <row r="249" spans="6:12" x14ac:dyDescent="0.25">
      <c r="F249">
        <f t="shared" si="15"/>
        <v>20</v>
      </c>
      <c r="G249">
        <v>248</v>
      </c>
      <c r="H249" s="655">
        <f t="shared" si="19"/>
        <v>-6667.5</v>
      </c>
      <c r="I249" s="655">
        <f t="shared" si="16"/>
        <v>13020</v>
      </c>
      <c r="J249" s="655">
        <f t="shared" si="17"/>
        <v>-12.223749999999999</v>
      </c>
      <c r="K249" s="655">
        <f>SUM($J$2:J249)</f>
        <v>271.57166666666672</v>
      </c>
      <c r="L249" s="655">
        <f t="shared" si="18"/>
        <v>13291.571666666667</v>
      </c>
    </row>
    <row r="250" spans="6:12" x14ac:dyDescent="0.25">
      <c r="F250">
        <f t="shared" si="15"/>
        <v>20</v>
      </c>
      <c r="G250">
        <v>249</v>
      </c>
      <c r="H250" s="655">
        <f t="shared" si="19"/>
        <v>-6720</v>
      </c>
      <c r="I250" s="655">
        <f t="shared" si="16"/>
        <v>13072.5</v>
      </c>
      <c r="J250" s="655">
        <f t="shared" si="17"/>
        <v>-12.32</v>
      </c>
      <c r="K250" s="655">
        <f>SUM($J$2:J250)</f>
        <v>259.25166666666672</v>
      </c>
      <c r="L250" s="655">
        <f t="shared" si="18"/>
        <v>13331.751666666667</v>
      </c>
    </row>
    <row r="251" spans="6:12" x14ac:dyDescent="0.25">
      <c r="F251">
        <f t="shared" si="15"/>
        <v>20</v>
      </c>
      <c r="G251">
        <v>250</v>
      </c>
      <c r="H251" s="655">
        <f t="shared" si="19"/>
        <v>-6772.5</v>
      </c>
      <c r="I251" s="655">
        <f t="shared" si="16"/>
        <v>13125</v>
      </c>
      <c r="J251" s="655">
        <f t="shared" si="17"/>
        <v>-12.41625</v>
      </c>
      <c r="K251" s="655">
        <f>SUM($J$2:J251)</f>
        <v>246.83541666666673</v>
      </c>
      <c r="L251" s="655">
        <f t="shared" si="18"/>
        <v>13371.835416666667</v>
      </c>
    </row>
    <row r="252" spans="6:12" x14ac:dyDescent="0.25">
      <c r="F252">
        <f t="shared" si="15"/>
        <v>20</v>
      </c>
      <c r="G252">
        <v>251</v>
      </c>
      <c r="H252" s="655">
        <f t="shared" si="19"/>
        <v>-6825</v>
      </c>
      <c r="I252" s="655">
        <f t="shared" si="16"/>
        <v>13177.5</v>
      </c>
      <c r="J252" s="655">
        <f t="shared" si="17"/>
        <v>-12.512499999999999</v>
      </c>
      <c r="K252" s="655">
        <f>SUM($J$2:J252)</f>
        <v>234.32291666666674</v>
      </c>
      <c r="L252" s="655">
        <f t="shared" si="18"/>
        <v>13411.822916666666</v>
      </c>
    </row>
    <row r="253" spans="6:12" x14ac:dyDescent="0.25">
      <c r="F253">
        <f t="shared" si="15"/>
        <v>21</v>
      </c>
      <c r="G253">
        <v>252</v>
      </c>
      <c r="H253" s="655">
        <f t="shared" si="19"/>
        <v>-6877.5</v>
      </c>
      <c r="I253" s="655">
        <f t="shared" si="16"/>
        <v>13230</v>
      </c>
      <c r="J253" s="655">
        <f t="shared" si="17"/>
        <v>-12.608750000000001</v>
      </c>
      <c r="K253" s="655">
        <f>SUM($J$2:J253)</f>
        <v>221.71416666666676</v>
      </c>
      <c r="L253" s="655">
        <f t="shared" si="18"/>
        <v>13451.714166666667</v>
      </c>
    </row>
    <row r="254" spans="6:12" x14ac:dyDescent="0.25">
      <c r="F254">
        <f t="shared" si="15"/>
        <v>21</v>
      </c>
      <c r="G254">
        <v>253</v>
      </c>
      <c r="H254" s="655">
        <f t="shared" si="19"/>
        <v>-6930</v>
      </c>
      <c r="I254" s="655">
        <f t="shared" si="16"/>
        <v>13282.5</v>
      </c>
      <c r="J254" s="655">
        <f t="shared" si="17"/>
        <v>-12.705</v>
      </c>
      <c r="K254" s="655">
        <f>SUM($J$2:J254)</f>
        <v>209.00916666666674</v>
      </c>
      <c r="L254" s="655">
        <f t="shared" si="18"/>
        <v>13491.509166666667</v>
      </c>
    </row>
    <row r="255" spans="6:12" x14ac:dyDescent="0.25">
      <c r="F255">
        <f t="shared" si="15"/>
        <v>21</v>
      </c>
      <c r="G255">
        <v>254</v>
      </c>
      <c r="H255" s="655">
        <f t="shared" si="19"/>
        <v>-6982.5</v>
      </c>
      <c r="I255" s="655">
        <f t="shared" si="16"/>
        <v>13335</v>
      </c>
      <c r="J255" s="655">
        <f t="shared" si="17"/>
        <v>-12.80125</v>
      </c>
      <c r="K255" s="655">
        <f>SUM($J$2:J255)</f>
        <v>196.20791666666673</v>
      </c>
      <c r="L255" s="655">
        <f t="shared" si="18"/>
        <v>13531.207916666666</v>
      </c>
    </row>
    <row r="256" spans="6:12" x14ac:dyDescent="0.25">
      <c r="F256">
        <f t="shared" si="15"/>
        <v>21</v>
      </c>
      <c r="G256">
        <v>255</v>
      </c>
      <c r="H256" s="655">
        <f t="shared" si="19"/>
        <v>-7035</v>
      </c>
      <c r="I256" s="655">
        <f t="shared" si="16"/>
        <v>13387.5</v>
      </c>
      <c r="J256" s="655">
        <f t="shared" si="17"/>
        <v>-12.897499999999999</v>
      </c>
      <c r="K256" s="655">
        <f>SUM($J$2:J256)</f>
        <v>183.31041666666673</v>
      </c>
      <c r="L256" s="655">
        <f t="shared" si="18"/>
        <v>13570.810416666667</v>
      </c>
    </row>
    <row r="257" spans="6:12" x14ac:dyDescent="0.25">
      <c r="F257">
        <f t="shared" si="15"/>
        <v>21</v>
      </c>
      <c r="G257">
        <v>256</v>
      </c>
      <c r="H257" s="655">
        <f t="shared" si="19"/>
        <v>-7087.5</v>
      </c>
      <c r="I257" s="655">
        <f t="shared" si="16"/>
        <v>13440</v>
      </c>
      <c r="J257" s="655">
        <f t="shared" si="17"/>
        <v>-12.99375</v>
      </c>
      <c r="K257" s="655">
        <f>SUM($J$2:J257)</f>
        <v>170.31666666666672</v>
      </c>
      <c r="L257" s="655">
        <f t="shared" si="18"/>
        <v>13610.316666666668</v>
      </c>
    </row>
    <row r="258" spans="6:12" x14ac:dyDescent="0.25">
      <c r="F258">
        <f t="shared" si="15"/>
        <v>21</v>
      </c>
      <c r="G258">
        <v>257</v>
      </c>
      <c r="H258" s="655">
        <f t="shared" si="19"/>
        <v>-7140</v>
      </c>
      <c r="I258" s="655">
        <f t="shared" si="16"/>
        <v>13492.5</v>
      </c>
      <c r="J258" s="655">
        <f t="shared" si="17"/>
        <v>-13.09</v>
      </c>
      <c r="K258" s="655">
        <f>SUM($J$2:J258)</f>
        <v>157.22666666666672</v>
      </c>
      <c r="L258" s="655">
        <f t="shared" si="18"/>
        <v>13649.726666666667</v>
      </c>
    </row>
    <row r="259" spans="6:12" x14ac:dyDescent="0.25">
      <c r="F259">
        <f t="shared" ref="F259:F301" si="20">QUOTIENT(G259,12)</f>
        <v>21</v>
      </c>
      <c r="G259">
        <v>258</v>
      </c>
      <c r="H259" s="655">
        <f t="shared" si="19"/>
        <v>-7192.5</v>
      </c>
      <c r="I259" s="655">
        <f t="shared" ref="I259:I301" si="21">G259*$D$9</f>
        <v>13545</v>
      </c>
      <c r="J259" s="655">
        <f t="shared" ref="J259:J301" si="22">H259*$D$11</f>
        <v>-13.186249999999999</v>
      </c>
      <c r="K259" s="655">
        <f>SUM($J$2:J259)</f>
        <v>144.04041666666672</v>
      </c>
      <c r="L259" s="655">
        <f t="shared" ref="L259:L301" si="23">I259+K259</f>
        <v>13689.040416666667</v>
      </c>
    </row>
    <row r="260" spans="6:12" x14ac:dyDescent="0.25">
      <c r="F260">
        <f t="shared" si="20"/>
        <v>21</v>
      </c>
      <c r="G260">
        <v>259</v>
      </c>
      <c r="H260" s="655">
        <f t="shared" ref="H260:H301" si="24">$D$6-I259</f>
        <v>-7245</v>
      </c>
      <c r="I260" s="655">
        <f t="shared" si="21"/>
        <v>13597.5</v>
      </c>
      <c r="J260" s="655">
        <f t="shared" si="22"/>
        <v>-13.282500000000001</v>
      </c>
      <c r="K260" s="655">
        <f>SUM($J$2:J260)</f>
        <v>130.75791666666672</v>
      </c>
      <c r="L260" s="655">
        <f t="shared" si="23"/>
        <v>13728.257916666667</v>
      </c>
    </row>
    <row r="261" spans="6:12" x14ac:dyDescent="0.25">
      <c r="F261">
        <f t="shared" si="20"/>
        <v>21</v>
      </c>
      <c r="G261">
        <v>260</v>
      </c>
      <c r="H261" s="655">
        <f t="shared" si="24"/>
        <v>-7297.5</v>
      </c>
      <c r="I261" s="655">
        <f t="shared" si="21"/>
        <v>13650</v>
      </c>
      <c r="J261" s="655">
        <f t="shared" si="22"/>
        <v>-13.37875</v>
      </c>
      <c r="K261" s="655">
        <f>SUM($J$2:J261)</f>
        <v>117.37916666666672</v>
      </c>
      <c r="L261" s="655">
        <f t="shared" si="23"/>
        <v>13767.379166666668</v>
      </c>
    </row>
    <row r="262" spans="6:12" x14ac:dyDescent="0.25">
      <c r="F262">
        <f t="shared" si="20"/>
        <v>21</v>
      </c>
      <c r="G262">
        <v>261</v>
      </c>
      <c r="H262" s="655">
        <f t="shared" si="24"/>
        <v>-7350</v>
      </c>
      <c r="I262" s="655">
        <f t="shared" si="21"/>
        <v>13702.5</v>
      </c>
      <c r="J262" s="655">
        <f t="shared" si="22"/>
        <v>-13.475</v>
      </c>
      <c r="K262" s="655">
        <f>SUM($J$2:J262)</f>
        <v>103.90416666666673</v>
      </c>
      <c r="L262" s="655">
        <f t="shared" si="23"/>
        <v>13806.404166666667</v>
      </c>
    </row>
    <row r="263" spans="6:12" x14ac:dyDescent="0.25">
      <c r="F263">
        <f t="shared" si="20"/>
        <v>21</v>
      </c>
      <c r="G263">
        <v>262</v>
      </c>
      <c r="H263" s="655">
        <f t="shared" si="24"/>
        <v>-7402.5</v>
      </c>
      <c r="I263" s="655">
        <f t="shared" si="21"/>
        <v>13755</v>
      </c>
      <c r="J263" s="655">
        <f t="shared" si="22"/>
        <v>-13.571249999999999</v>
      </c>
      <c r="K263" s="655">
        <f>SUM($J$2:J263)</f>
        <v>90.332916666666733</v>
      </c>
      <c r="L263" s="655">
        <f t="shared" si="23"/>
        <v>13845.332916666666</v>
      </c>
    </row>
    <row r="264" spans="6:12" x14ac:dyDescent="0.25">
      <c r="F264">
        <f t="shared" si="20"/>
        <v>21</v>
      </c>
      <c r="G264">
        <v>263</v>
      </c>
      <c r="H264" s="655">
        <f t="shared" si="24"/>
        <v>-7455</v>
      </c>
      <c r="I264" s="655">
        <f t="shared" si="21"/>
        <v>13807.5</v>
      </c>
      <c r="J264" s="655">
        <f t="shared" si="22"/>
        <v>-13.6675</v>
      </c>
      <c r="K264" s="655">
        <f>SUM($J$2:J264)</f>
        <v>76.665416666666729</v>
      </c>
      <c r="L264" s="655">
        <f t="shared" si="23"/>
        <v>13884.165416666667</v>
      </c>
    </row>
    <row r="265" spans="6:12" x14ac:dyDescent="0.25">
      <c r="F265">
        <f t="shared" si="20"/>
        <v>22</v>
      </c>
      <c r="G265">
        <v>264</v>
      </c>
      <c r="H265" s="655">
        <f t="shared" si="24"/>
        <v>-7507.5</v>
      </c>
      <c r="I265" s="655">
        <f t="shared" si="21"/>
        <v>13860</v>
      </c>
      <c r="J265" s="655">
        <f t="shared" si="22"/>
        <v>-13.76375</v>
      </c>
      <c r="K265" s="655">
        <f>SUM($J$2:J265)</f>
        <v>62.901666666666728</v>
      </c>
      <c r="L265" s="655">
        <f t="shared" si="23"/>
        <v>13922.901666666667</v>
      </c>
    </row>
    <row r="266" spans="6:12" x14ac:dyDescent="0.25">
      <c r="F266">
        <f t="shared" si="20"/>
        <v>22</v>
      </c>
      <c r="G266">
        <v>265</v>
      </c>
      <c r="H266" s="655">
        <f t="shared" si="24"/>
        <v>-7560</v>
      </c>
      <c r="I266" s="655">
        <f t="shared" si="21"/>
        <v>13912.5</v>
      </c>
      <c r="J266" s="655">
        <f t="shared" si="22"/>
        <v>-13.86</v>
      </c>
      <c r="K266" s="655">
        <f>SUM($J$2:J266)</f>
        <v>49.041666666666728</v>
      </c>
      <c r="L266" s="655">
        <f t="shared" si="23"/>
        <v>13961.541666666666</v>
      </c>
    </row>
    <row r="267" spans="6:12" x14ac:dyDescent="0.25">
      <c r="F267">
        <f t="shared" si="20"/>
        <v>22</v>
      </c>
      <c r="G267">
        <v>266</v>
      </c>
      <c r="H267" s="655">
        <f t="shared" si="24"/>
        <v>-7612.5</v>
      </c>
      <c r="I267" s="655">
        <f t="shared" si="21"/>
        <v>13965</v>
      </c>
      <c r="J267" s="655">
        <f t="shared" si="22"/>
        <v>-13.956249999999999</v>
      </c>
      <c r="K267" s="655">
        <f>SUM($J$2:J267)</f>
        <v>35.085416666666731</v>
      </c>
      <c r="L267" s="655">
        <f t="shared" si="23"/>
        <v>14000.085416666667</v>
      </c>
    </row>
    <row r="268" spans="6:12" x14ac:dyDescent="0.25">
      <c r="F268">
        <f t="shared" si="20"/>
        <v>22</v>
      </c>
      <c r="G268">
        <v>267</v>
      </c>
      <c r="H268" s="655">
        <f t="shared" si="24"/>
        <v>-7665</v>
      </c>
      <c r="I268" s="655">
        <f t="shared" si="21"/>
        <v>14017.5</v>
      </c>
      <c r="J268" s="655">
        <f t="shared" si="22"/>
        <v>-14.0525</v>
      </c>
      <c r="K268" s="655">
        <f>SUM($J$2:J268)</f>
        <v>21.032916666666729</v>
      </c>
      <c r="L268" s="655">
        <f t="shared" si="23"/>
        <v>14038.532916666667</v>
      </c>
    </row>
    <row r="269" spans="6:12" x14ac:dyDescent="0.25">
      <c r="F269">
        <f t="shared" si="20"/>
        <v>22</v>
      </c>
      <c r="G269">
        <v>268</v>
      </c>
      <c r="H269" s="655">
        <f t="shared" si="24"/>
        <v>-7717.5</v>
      </c>
      <c r="I269" s="655">
        <f t="shared" si="21"/>
        <v>14070</v>
      </c>
      <c r="J269" s="655">
        <f t="shared" si="22"/>
        <v>-14.14875</v>
      </c>
      <c r="K269" s="655">
        <f>SUM($J$2:J269)</f>
        <v>6.8841666666667294</v>
      </c>
      <c r="L269" s="655">
        <f t="shared" si="23"/>
        <v>14076.884166666667</v>
      </c>
    </row>
    <row r="270" spans="6:12" x14ac:dyDescent="0.25">
      <c r="F270">
        <f t="shared" si="20"/>
        <v>22</v>
      </c>
      <c r="G270">
        <v>269</v>
      </c>
      <c r="H270" s="655">
        <f t="shared" si="24"/>
        <v>-7770</v>
      </c>
      <c r="I270" s="655">
        <f t="shared" si="21"/>
        <v>14122.5</v>
      </c>
      <c r="J270" s="655">
        <f t="shared" si="22"/>
        <v>-14.244999999999999</v>
      </c>
      <c r="K270" s="655">
        <f>SUM($J$2:J270)</f>
        <v>-7.3608333333332698</v>
      </c>
      <c r="L270" s="655">
        <f t="shared" si="23"/>
        <v>14115.139166666666</v>
      </c>
    </row>
    <row r="271" spans="6:12" x14ac:dyDescent="0.25">
      <c r="F271">
        <f t="shared" si="20"/>
        <v>22</v>
      </c>
      <c r="G271">
        <v>270</v>
      </c>
      <c r="H271" s="655">
        <f t="shared" si="24"/>
        <v>-7822.5</v>
      </c>
      <c r="I271" s="655">
        <f t="shared" si="21"/>
        <v>14175</v>
      </c>
      <c r="J271" s="655">
        <f t="shared" si="22"/>
        <v>-14.34125</v>
      </c>
      <c r="K271" s="655">
        <f>SUM($J$2:J271)</f>
        <v>-21.70208333333327</v>
      </c>
      <c r="L271" s="655">
        <f t="shared" si="23"/>
        <v>14153.297916666666</v>
      </c>
    </row>
    <row r="272" spans="6:12" x14ac:dyDescent="0.25">
      <c r="F272">
        <f t="shared" si="20"/>
        <v>22</v>
      </c>
      <c r="G272">
        <v>271</v>
      </c>
      <c r="H272" s="655">
        <f t="shared" si="24"/>
        <v>-7875</v>
      </c>
      <c r="I272" s="655">
        <f t="shared" si="21"/>
        <v>14227.5</v>
      </c>
      <c r="J272" s="655">
        <f t="shared" si="22"/>
        <v>-14.4375</v>
      </c>
      <c r="K272" s="655">
        <f>SUM($J$2:J272)</f>
        <v>-36.13958333333327</v>
      </c>
      <c r="L272" s="655">
        <f t="shared" si="23"/>
        <v>14191.360416666666</v>
      </c>
    </row>
    <row r="273" spans="6:12" x14ac:dyDescent="0.25">
      <c r="F273">
        <f t="shared" si="20"/>
        <v>22</v>
      </c>
      <c r="G273">
        <v>272</v>
      </c>
      <c r="H273" s="655">
        <f t="shared" si="24"/>
        <v>-7927.5</v>
      </c>
      <c r="I273" s="655">
        <f t="shared" si="21"/>
        <v>14280</v>
      </c>
      <c r="J273" s="655">
        <f t="shared" si="22"/>
        <v>-14.53375</v>
      </c>
      <c r="K273" s="655">
        <f>SUM($J$2:J273)</f>
        <v>-50.673333333333268</v>
      </c>
      <c r="L273" s="655">
        <f t="shared" si="23"/>
        <v>14229.326666666666</v>
      </c>
    </row>
    <row r="274" spans="6:12" x14ac:dyDescent="0.25">
      <c r="F274">
        <f t="shared" si="20"/>
        <v>22</v>
      </c>
      <c r="G274">
        <v>273</v>
      </c>
      <c r="H274" s="655">
        <f t="shared" si="24"/>
        <v>-7980</v>
      </c>
      <c r="I274" s="655">
        <f t="shared" si="21"/>
        <v>14332.5</v>
      </c>
      <c r="J274" s="655">
        <f t="shared" si="22"/>
        <v>-14.629999999999999</v>
      </c>
      <c r="K274" s="655">
        <f>SUM($J$2:J274)</f>
        <v>-65.303333333333271</v>
      </c>
      <c r="L274" s="655">
        <f t="shared" si="23"/>
        <v>14267.196666666667</v>
      </c>
    </row>
    <row r="275" spans="6:12" x14ac:dyDescent="0.25">
      <c r="F275">
        <f t="shared" si="20"/>
        <v>22</v>
      </c>
      <c r="G275">
        <v>274</v>
      </c>
      <c r="H275" s="655">
        <f t="shared" si="24"/>
        <v>-8032.5</v>
      </c>
      <c r="I275" s="655">
        <f t="shared" si="21"/>
        <v>14385</v>
      </c>
      <c r="J275" s="655">
        <f t="shared" si="22"/>
        <v>-14.72625</v>
      </c>
      <c r="K275" s="655">
        <f>SUM($J$2:J275)</f>
        <v>-80.029583333333278</v>
      </c>
      <c r="L275" s="655">
        <f t="shared" si="23"/>
        <v>14304.970416666667</v>
      </c>
    </row>
    <row r="276" spans="6:12" x14ac:dyDescent="0.25">
      <c r="F276">
        <f t="shared" si="20"/>
        <v>22</v>
      </c>
      <c r="G276">
        <v>275</v>
      </c>
      <c r="H276" s="655">
        <f t="shared" si="24"/>
        <v>-8085</v>
      </c>
      <c r="I276" s="655">
        <f t="shared" si="21"/>
        <v>14437.5</v>
      </c>
      <c r="J276" s="655">
        <f t="shared" si="22"/>
        <v>-14.8225</v>
      </c>
      <c r="K276" s="655">
        <f>SUM($J$2:J276)</f>
        <v>-94.852083333333283</v>
      </c>
      <c r="L276" s="655">
        <f t="shared" si="23"/>
        <v>14342.647916666667</v>
      </c>
    </row>
    <row r="277" spans="6:12" x14ac:dyDescent="0.25">
      <c r="F277">
        <f t="shared" si="20"/>
        <v>23</v>
      </c>
      <c r="G277">
        <v>276</v>
      </c>
      <c r="H277" s="655">
        <f t="shared" si="24"/>
        <v>-8137.5</v>
      </c>
      <c r="I277" s="655">
        <f t="shared" si="21"/>
        <v>14490</v>
      </c>
      <c r="J277" s="655">
        <f t="shared" si="22"/>
        <v>-14.918749999999999</v>
      </c>
      <c r="K277" s="655">
        <f>SUM($J$2:J277)</f>
        <v>-109.77083333333329</v>
      </c>
      <c r="L277" s="655">
        <f t="shared" si="23"/>
        <v>14380.229166666666</v>
      </c>
    </row>
    <row r="278" spans="6:12" x14ac:dyDescent="0.25">
      <c r="F278">
        <f t="shared" si="20"/>
        <v>23</v>
      </c>
      <c r="G278">
        <v>277</v>
      </c>
      <c r="H278" s="655">
        <f t="shared" si="24"/>
        <v>-8190</v>
      </c>
      <c r="I278" s="655">
        <f t="shared" si="21"/>
        <v>14542.5</v>
      </c>
      <c r="J278" s="655">
        <f t="shared" si="22"/>
        <v>-15.015000000000001</v>
      </c>
      <c r="K278" s="655">
        <f>SUM($J$2:J278)</f>
        <v>-124.78583333333329</v>
      </c>
      <c r="L278" s="655">
        <f t="shared" si="23"/>
        <v>14417.714166666667</v>
      </c>
    </row>
    <row r="279" spans="6:12" x14ac:dyDescent="0.25">
      <c r="F279">
        <f t="shared" si="20"/>
        <v>23</v>
      </c>
      <c r="G279">
        <v>278</v>
      </c>
      <c r="H279" s="655">
        <f t="shared" si="24"/>
        <v>-8242.5</v>
      </c>
      <c r="I279" s="655">
        <f t="shared" si="21"/>
        <v>14595</v>
      </c>
      <c r="J279" s="655">
        <f t="shared" si="22"/>
        <v>-15.11125</v>
      </c>
      <c r="K279" s="655">
        <f>SUM($J$2:J279)</f>
        <v>-139.89708333333328</v>
      </c>
      <c r="L279" s="655">
        <f t="shared" si="23"/>
        <v>14455.102916666667</v>
      </c>
    </row>
    <row r="280" spans="6:12" x14ac:dyDescent="0.25">
      <c r="F280">
        <f t="shared" si="20"/>
        <v>23</v>
      </c>
      <c r="G280">
        <v>279</v>
      </c>
      <c r="H280" s="655">
        <f t="shared" si="24"/>
        <v>-8295</v>
      </c>
      <c r="I280" s="655">
        <f t="shared" si="21"/>
        <v>14647.5</v>
      </c>
      <c r="J280" s="655">
        <f t="shared" si="22"/>
        <v>-15.2075</v>
      </c>
      <c r="K280" s="655">
        <f>SUM($J$2:J280)</f>
        <v>-155.1045833333333</v>
      </c>
      <c r="L280" s="655">
        <f t="shared" si="23"/>
        <v>14492.395416666666</v>
      </c>
    </row>
    <row r="281" spans="6:12" x14ac:dyDescent="0.25">
      <c r="F281">
        <f t="shared" si="20"/>
        <v>23</v>
      </c>
      <c r="G281">
        <v>280</v>
      </c>
      <c r="H281" s="655">
        <f t="shared" si="24"/>
        <v>-8347.5</v>
      </c>
      <c r="I281" s="655">
        <f t="shared" si="21"/>
        <v>14700</v>
      </c>
      <c r="J281" s="655">
        <f t="shared" si="22"/>
        <v>-15.303749999999999</v>
      </c>
      <c r="K281" s="655">
        <f>SUM($J$2:J281)</f>
        <v>-170.4083333333333</v>
      </c>
      <c r="L281" s="655">
        <f t="shared" si="23"/>
        <v>14529.591666666667</v>
      </c>
    </row>
    <row r="282" spans="6:12" x14ac:dyDescent="0.25">
      <c r="F282">
        <f t="shared" si="20"/>
        <v>23</v>
      </c>
      <c r="G282">
        <v>281</v>
      </c>
      <c r="H282" s="655">
        <f t="shared" si="24"/>
        <v>-8400</v>
      </c>
      <c r="I282" s="655">
        <f t="shared" si="21"/>
        <v>14752.5</v>
      </c>
      <c r="J282" s="655">
        <f t="shared" si="22"/>
        <v>-15.4</v>
      </c>
      <c r="K282" s="655">
        <f>SUM($J$2:J282)</f>
        <v>-185.80833333333331</v>
      </c>
      <c r="L282" s="655">
        <f t="shared" si="23"/>
        <v>14566.691666666668</v>
      </c>
    </row>
    <row r="283" spans="6:12" x14ac:dyDescent="0.25">
      <c r="F283">
        <f t="shared" si="20"/>
        <v>23</v>
      </c>
      <c r="G283">
        <v>282</v>
      </c>
      <c r="H283" s="655">
        <f t="shared" si="24"/>
        <v>-8452.5</v>
      </c>
      <c r="I283" s="655">
        <f t="shared" si="21"/>
        <v>14805</v>
      </c>
      <c r="J283" s="655">
        <f t="shared" si="22"/>
        <v>-15.49625</v>
      </c>
      <c r="K283" s="655">
        <f>SUM($J$2:J283)</f>
        <v>-201.30458333333331</v>
      </c>
      <c r="L283" s="655">
        <f t="shared" si="23"/>
        <v>14603.695416666667</v>
      </c>
    </row>
    <row r="284" spans="6:12" x14ac:dyDescent="0.25">
      <c r="F284">
        <f t="shared" si="20"/>
        <v>23</v>
      </c>
      <c r="G284">
        <v>283</v>
      </c>
      <c r="H284" s="655">
        <f t="shared" si="24"/>
        <v>-8505</v>
      </c>
      <c r="I284" s="655">
        <f t="shared" si="21"/>
        <v>14857.5</v>
      </c>
      <c r="J284" s="655">
        <f t="shared" si="22"/>
        <v>-15.592499999999999</v>
      </c>
      <c r="K284" s="655">
        <f>SUM($J$2:J284)</f>
        <v>-216.89708333333331</v>
      </c>
      <c r="L284" s="655">
        <f t="shared" si="23"/>
        <v>14640.602916666667</v>
      </c>
    </row>
    <row r="285" spans="6:12" x14ac:dyDescent="0.25">
      <c r="F285">
        <f t="shared" si="20"/>
        <v>23</v>
      </c>
      <c r="G285">
        <v>284</v>
      </c>
      <c r="H285" s="655">
        <f t="shared" si="24"/>
        <v>-8557.5</v>
      </c>
      <c r="I285" s="655">
        <f t="shared" si="21"/>
        <v>14910</v>
      </c>
      <c r="J285" s="655">
        <f t="shared" si="22"/>
        <v>-15.688749999999999</v>
      </c>
      <c r="K285" s="655">
        <f>SUM($J$2:J285)</f>
        <v>-232.58583333333331</v>
      </c>
      <c r="L285" s="655">
        <f t="shared" si="23"/>
        <v>14677.414166666667</v>
      </c>
    </row>
    <row r="286" spans="6:12" x14ac:dyDescent="0.25">
      <c r="F286">
        <f t="shared" si="20"/>
        <v>23</v>
      </c>
      <c r="G286">
        <v>285</v>
      </c>
      <c r="H286" s="655">
        <f t="shared" si="24"/>
        <v>-8610</v>
      </c>
      <c r="I286" s="655">
        <f t="shared" si="21"/>
        <v>14962.5</v>
      </c>
      <c r="J286" s="655">
        <f t="shared" si="22"/>
        <v>-15.785</v>
      </c>
      <c r="K286" s="655">
        <f>SUM($J$2:J286)</f>
        <v>-248.37083333333331</v>
      </c>
      <c r="L286" s="655">
        <f t="shared" si="23"/>
        <v>14714.129166666668</v>
      </c>
    </row>
    <row r="287" spans="6:12" x14ac:dyDescent="0.25">
      <c r="F287">
        <f t="shared" si="20"/>
        <v>23</v>
      </c>
      <c r="G287">
        <v>286</v>
      </c>
      <c r="H287" s="655">
        <f t="shared" si="24"/>
        <v>-8662.5</v>
      </c>
      <c r="I287" s="655">
        <f t="shared" si="21"/>
        <v>15015</v>
      </c>
      <c r="J287" s="655">
        <f t="shared" si="22"/>
        <v>-15.88125</v>
      </c>
      <c r="K287" s="655">
        <f>SUM($J$2:J287)</f>
        <v>-264.2520833333333</v>
      </c>
      <c r="L287" s="655">
        <f t="shared" si="23"/>
        <v>14750.747916666667</v>
      </c>
    </row>
    <row r="288" spans="6:12" x14ac:dyDescent="0.25">
      <c r="F288">
        <f t="shared" si="20"/>
        <v>23</v>
      </c>
      <c r="G288">
        <v>287</v>
      </c>
      <c r="H288" s="655">
        <f t="shared" si="24"/>
        <v>-8715</v>
      </c>
      <c r="I288" s="655">
        <f t="shared" si="21"/>
        <v>15067.5</v>
      </c>
      <c r="J288" s="655">
        <f t="shared" si="22"/>
        <v>-15.977499999999999</v>
      </c>
      <c r="K288" s="655">
        <f>SUM($J$2:J288)</f>
        <v>-280.22958333333332</v>
      </c>
      <c r="L288" s="655">
        <f t="shared" si="23"/>
        <v>14787.270416666666</v>
      </c>
    </row>
    <row r="289" spans="6:12" x14ac:dyDescent="0.25">
      <c r="F289">
        <f t="shared" si="20"/>
        <v>24</v>
      </c>
      <c r="G289">
        <v>288</v>
      </c>
      <c r="H289" s="655">
        <f t="shared" si="24"/>
        <v>-8767.5</v>
      </c>
      <c r="I289" s="655">
        <f t="shared" si="21"/>
        <v>15120</v>
      </c>
      <c r="J289" s="655">
        <f t="shared" si="22"/>
        <v>-16.07375</v>
      </c>
      <c r="K289" s="655">
        <f>SUM($J$2:J289)</f>
        <v>-296.30333333333334</v>
      </c>
      <c r="L289" s="655">
        <f t="shared" si="23"/>
        <v>14823.696666666667</v>
      </c>
    </row>
    <row r="290" spans="6:12" x14ac:dyDescent="0.25">
      <c r="F290">
        <f t="shared" si="20"/>
        <v>24</v>
      </c>
      <c r="G290">
        <v>289</v>
      </c>
      <c r="H290" s="655">
        <f t="shared" si="24"/>
        <v>-8820</v>
      </c>
      <c r="I290" s="655">
        <f t="shared" si="21"/>
        <v>15172.5</v>
      </c>
      <c r="J290" s="655">
        <f t="shared" si="22"/>
        <v>-16.169999999999998</v>
      </c>
      <c r="K290" s="655">
        <f>SUM($J$2:J290)</f>
        <v>-312.47333333333336</v>
      </c>
      <c r="L290" s="655">
        <f t="shared" si="23"/>
        <v>14860.026666666667</v>
      </c>
    </row>
    <row r="291" spans="6:12" x14ac:dyDescent="0.25">
      <c r="F291">
        <f t="shared" si="20"/>
        <v>24</v>
      </c>
      <c r="G291">
        <v>290</v>
      </c>
      <c r="H291" s="655">
        <f t="shared" si="24"/>
        <v>-8872.5</v>
      </c>
      <c r="I291" s="655">
        <f t="shared" si="21"/>
        <v>15225</v>
      </c>
      <c r="J291" s="655">
        <f t="shared" si="22"/>
        <v>-16.266249999999999</v>
      </c>
      <c r="K291" s="655">
        <f>SUM($J$2:J291)</f>
        <v>-328.73958333333337</v>
      </c>
      <c r="L291" s="655">
        <f t="shared" si="23"/>
        <v>14896.260416666666</v>
      </c>
    </row>
    <row r="292" spans="6:12" x14ac:dyDescent="0.25">
      <c r="F292">
        <f t="shared" si="20"/>
        <v>24</v>
      </c>
      <c r="G292">
        <v>291</v>
      </c>
      <c r="H292" s="655">
        <f t="shared" si="24"/>
        <v>-8925</v>
      </c>
      <c r="I292" s="655">
        <f t="shared" si="21"/>
        <v>15277.5</v>
      </c>
      <c r="J292" s="655">
        <f t="shared" si="22"/>
        <v>-16.362500000000001</v>
      </c>
      <c r="K292" s="655">
        <f>SUM($J$2:J292)</f>
        <v>-345.10208333333338</v>
      </c>
      <c r="L292" s="655">
        <f t="shared" si="23"/>
        <v>14932.397916666667</v>
      </c>
    </row>
    <row r="293" spans="6:12" x14ac:dyDescent="0.25">
      <c r="F293">
        <f t="shared" si="20"/>
        <v>24</v>
      </c>
      <c r="G293">
        <v>292</v>
      </c>
      <c r="H293" s="655">
        <f t="shared" si="24"/>
        <v>-8977.5</v>
      </c>
      <c r="I293" s="655">
        <f t="shared" si="21"/>
        <v>15330</v>
      </c>
      <c r="J293" s="655">
        <f t="shared" si="22"/>
        <v>-16.458749999999998</v>
      </c>
      <c r="K293" s="655">
        <f>SUM($J$2:J293)</f>
        <v>-361.56083333333339</v>
      </c>
      <c r="L293" s="655">
        <f t="shared" si="23"/>
        <v>14968.439166666667</v>
      </c>
    </row>
    <row r="294" spans="6:12" x14ac:dyDescent="0.25">
      <c r="F294">
        <f t="shared" si="20"/>
        <v>24</v>
      </c>
      <c r="G294">
        <v>293</v>
      </c>
      <c r="H294" s="655">
        <f t="shared" si="24"/>
        <v>-9030</v>
      </c>
      <c r="I294" s="655">
        <f t="shared" si="21"/>
        <v>15382.5</v>
      </c>
      <c r="J294" s="655">
        <f t="shared" si="22"/>
        <v>-16.555</v>
      </c>
      <c r="K294" s="655">
        <f>SUM($J$2:J294)</f>
        <v>-378.1158333333334</v>
      </c>
      <c r="L294" s="655">
        <f t="shared" si="23"/>
        <v>15004.384166666667</v>
      </c>
    </row>
    <row r="295" spans="6:12" x14ac:dyDescent="0.25">
      <c r="F295">
        <f t="shared" si="20"/>
        <v>24</v>
      </c>
      <c r="G295">
        <v>294</v>
      </c>
      <c r="H295" s="655">
        <f t="shared" si="24"/>
        <v>-9082.5</v>
      </c>
      <c r="I295" s="655">
        <f t="shared" si="21"/>
        <v>15435</v>
      </c>
      <c r="J295" s="655">
        <f t="shared" si="22"/>
        <v>-16.651250000000001</v>
      </c>
      <c r="K295" s="655">
        <f>SUM($J$2:J295)</f>
        <v>-394.7670833333334</v>
      </c>
      <c r="L295" s="655">
        <f t="shared" si="23"/>
        <v>15040.232916666666</v>
      </c>
    </row>
    <row r="296" spans="6:12" x14ac:dyDescent="0.25">
      <c r="F296">
        <f t="shared" si="20"/>
        <v>24</v>
      </c>
      <c r="G296">
        <v>295</v>
      </c>
      <c r="H296" s="655">
        <f t="shared" si="24"/>
        <v>-9135</v>
      </c>
      <c r="I296" s="655">
        <f t="shared" si="21"/>
        <v>15487.5</v>
      </c>
      <c r="J296" s="655">
        <f t="shared" si="22"/>
        <v>-16.747499999999999</v>
      </c>
      <c r="K296" s="655">
        <f>SUM($J$2:J296)</f>
        <v>-411.51458333333341</v>
      </c>
      <c r="L296" s="655">
        <f t="shared" si="23"/>
        <v>15075.985416666666</v>
      </c>
    </row>
    <row r="297" spans="6:12" x14ac:dyDescent="0.25">
      <c r="F297">
        <f t="shared" si="20"/>
        <v>24</v>
      </c>
      <c r="G297">
        <v>296</v>
      </c>
      <c r="H297" s="655">
        <f t="shared" si="24"/>
        <v>-9187.5</v>
      </c>
      <c r="I297" s="655">
        <f t="shared" si="21"/>
        <v>15540</v>
      </c>
      <c r="J297" s="655">
        <f t="shared" si="22"/>
        <v>-16.84375</v>
      </c>
      <c r="K297" s="655">
        <f>SUM($J$2:J297)</f>
        <v>-428.35833333333341</v>
      </c>
      <c r="L297" s="655">
        <f t="shared" si="23"/>
        <v>15111.641666666666</v>
      </c>
    </row>
    <row r="298" spans="6:12" x14ac:dyDescent="0.25">
      <c r="F298">
        <f t="shared" si="20"/>
        <v>24</v>
      </c>
      <c r="G298">
        <v>297</v>
      </c>
      <c r="H298" s="655">
        <f t="shared" si="24"/>
        <v>-9240</v>
      </c>
      <c r="I298" s="655">
        <f t="shared" si="21"/>
        <v>15592.5</v>
      </c>
      <c r="J298" s="655">
        <f t="shared" si="22"/>
        <v>-16.940000000000001</v>
      </c>
      <c r="K298" s="655">
        <f>SUM($J$2:J298)</f>
        <v>-445.2983333333334</v>
      </c>
      <c r="L298" s="655">
        <f t="shared" si="23"/>
        <v>15147.201666666666</v>
      </c>
    </row>
    <row r="299" spans="6:12" x14ac:dyDescent="0.25">
      <c r="F299">
        <f t="shared" si="20"/>
        <v>24</v>
      </c>
      <c r="G299">
        <v>298</v>
      </c>
      <c r="H299" s="655">
        <f t="shared" si="24"/>
        <v>-9292.5</v>
      </c>
      <c r="I299" s="655">
        <f t="shared" si="21"/>
        <v>15645</v>
      </c>
      <c r="J299" s="655">
        <f t="shared" si="22"/>
        <v>-17.036249999999999</v>
      </c>
      <c r="K299" s="655">
        <f>SUM($J$2:J299)</f>
        <v>-462.3345833333334</v>
      </c>
      <c r="L299" s="655">
        <f t="shared" si="23"/>
        <v>15182.665416666667</v>
      </c>
    </row>
    <row r="300" spans="6:12" x14ac:dyDescent="0.25">
      <c r="F300">
        <f t="shared" si="20"/>
        <v>24</v>
      </c>
      <c r="G300">
        <v>299</v>
      </c>
      <c r="H300" s="655">
        <f t="shared" si="24"/>
        <v>-9345</v>
      </c>
      <c r="I300" s="655">
        <f t="shared" si="21"/>
        <v>15697.5</v>
      </c>
      <c r="J300" s="655">
        <f t="shared" si="22"/>
        <v>-17.1325</v>
      </c>
      <c r="K300" s="655">
        <f>SUM($J$2:J300)</f>
        <v>-479.46708333333339</v>
      </c>
      <c r="L300" s="655">
        <f t="shared" si="23"/>
        <v>15218.032916666667</v>
      </c>
    </row>
    <row r="301" spans="6:12" x14ac:dyDescent="0.25">
      <c r="F301">
        <f t="shared" si="20"/>
        <v>25</v>
      </c>
      <c r="G301">
        <v>300</v>
      </c>
      <c r="H301" s="655">
        <f t="shared" si="24"/>
        <v>-9397.5</v>
      </c>
      <c r="I301" s="655">
        <f t="shared" si="21"/>
        <v>15750</v>
      </c>
      <c r="J301" s="655">
        <f t="shared" si="22"/>
        <v>-17.228749999999998</v>
      </c>
      <c r="K301" s="655">
        <f>SUM($J$2:J301)</f>
        <v>-496.69583333333338</v>
      </c>
      <c r="L301" s="655">
        <f t="shared" si="23"/>
        <v>15253.304166666667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3cfa2a-ac99-46c7-98f7-daa2c27800a8">
      <Terms xmlns="http://schemas.microsoft.com/office/infopath/2007/PartnerControls"/>
    </lcf76f155ced4ddcb4097134ff3c332f>
    <TaxCatchAll xmlns="305b006f-35a0-408d-83cf-4392602607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A3468F363C7447B64475F8E6A773EC" ma:contentTypeVersion="17" ma:contentTypeDescription="Crée un document." ma:contentTypeScope="" ma:versionID="2b254d54ea42ac07a87b674070a4ba52">
  <xsd:schema xmlns:xsd="http://www.w3.org/2001/XMLSchema" xmlns:xs="http://www.w3.org/2001/XMLSchema" xmlns:p="http://schemas.microsoft.com/office/2006/metadata/properties" xmlns:ns2="a43cfa2a-ac99-46c7-98f7-daa2c27800a8" xmlns:ns3="305b006f-35a0-408d-83cf-43926026073d" targetNamespace="http://schemas.microsoft.com/office/2006/metadata/properties" ma:root="true" ma:fieldsID="125c9262ca461915b54e72416c1e777a" ns2:_="" ns3:_="">
    <xsd:import namespace="a43cfa2a-ac99-46c7-98f7-daa2c27800a8"/>
    <xsd:import namespace="305b006f-35a0-408d-83cf-4392602607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cfa2a-ac99-46c7-98f7-daa2c2780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bc3314-3ed7-402e-9445-99784eedc6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5b006f-35a0-408d-83cf-43926026073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e05c7496-ee38-4858-9e4b-7363e00d1bc7}" ma:internalName="TaxCatchAll" ma:showField="CatchAllData" ma:web="305b006f-35a0-408d-83cf-439260260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71035-FCC6-48C4-9125-1B9873B71669}">
  <ds:schemaRefs>
    <ds:schemaRef ds:uri="http://schemas.microsoft.com/sharepoint/v3/contenttype/forms"/>
  </ds:schemaRefs>
</ds:datastoreItem>
</file>

<file path=customXml/itemProps2.xml><?xml version="1.0" encoding="utf-8"?>
<ds:datastoreItem xmlns:ds="http://schemas.openxmlformats.org/officeDocument/2006/customXml" ds:itemID="{C53DB5D4-2B8D-46B4-89C9-56EAABEF6BFC}">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 ds:uri="bb14b2b1-268d-4646-a4d5-bc2a4e8e1a31"/>
    <ds:schemaRef ds:uri="ce4d97cf-09a7-40f3-97ab-a8c0b7e67a52"/>
  </ds:schemaRefs>
</ds:datastoreItem>
</file>

<file path=customXml/itemProps3.xml><?xml version="1.0" encoding="utf-8"?>
<ds:datastoreItem xmlns:ds="http://schemas.openxmlformats.org/officeDocument/2006/customXml" ds:itemID="{5F9EFBE7-DCF9-4F64-A2C5-43F242062A6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14</vt:i4>
      </vt:variant>
    </vt:vector>
  </HeadingPairs>
  <TitlesOfParts>
    <vt:vector size="21" baseType="lpstr">
      <vt:lpstr>Tuto</vt:lpstr>
      <vt:lpstr>scénario_1</vt:lpstr>
      <vt:lpstr>Matrices</vt:lpstr>
      <vt:lpstr>💰 Financement 1</vt:lpstr>
      <vt:lpstr>info CEE aide global</vt:lpstr>
      <vt:lpstr>intérêts assurance Eco ptz</vt:lpstr>
      <vt:lpstr>intérêts prêt complémentaire</vt:lpstr>
      <vt:lpstr>Aides_anah</vt:lpstr>
      <vt:lpstr>Ancienn_batit</vt:lpstr>
      <vt:lpstr>Civilité</vt:lpstr>
      <vt:lpstr>Communes</vt:lpstr>
      <vt:lpstr>Compo_ménage</vt:lpstr>
      <vt:lpstr>Critere_Montreuil</vt:lpstr>
      <vt:lpstr>Critères_fond_air_bois</vt:lpstr>
      <vt:lpstr>Durée_du_prêt</vt:lpstr>
      <vt:lpstr>Energie</vt:lpstr>
      <vt:lpstr>nbre_Foyer</vt:lpstr>
      <vt:lpstr>Oui_Non</vt:lpstr>
      <vt:lpstr>Statut_occupation</vt:lpstr>
      <vt:lpstr>Type_logement</vt:lpstr>
      <vt:lpstr>Type_travayx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Quentin MAILLAND</cp:lastModifiedBy>
  <cp:lastPrinted>2022-08-22T12:55:28Z</cp:lastPrinted>
  <dcterms:created xsi:type="dcterms:W3CDTF">2020-10-29T09:24:08Z</dcterms:created>
  <dcterms:modified xsi:type="dcterms:W3CDTF">2023-02-15T18:44:18Z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0x010100A8A3468F363C7447B64475F8E6A773EC</vt:lpwstr>
  </property>
  <property fmtid="{D5CDD505-2E9C-101B-9397-08002B2CF9AE}" pid="3" name="MediaServiceImageTags">
    <vt:lpwstr/>
  </property>
</Properties>
</file>